
<file path=[Content_Types].xml><?xml version="1.0" encoding="utf-8"?>
<Types xmlns="http://schemas.openxmlformats.org/package/2006/content-types">
  <Override PartName="/xl/worksheets/sheet15.xml" ContentType="application/vnd.openxmlformats-officedocument.spreadsheetml.worksheet+xml"/>
  <Override PartName="/xl/embeddings/oleObject8.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6.bin" ContentType="application/vnd.openxmlformats-officedocument.oleObject"/>
  <Override PartName="/xl/drawings/drawing6.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Default Extension="emf" ContentType="image/x-emf"/>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drawings/drawing1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embeddings/oleObject9.bin" ContentType="application/vnd.openxmlformats-officedocument.oleObject"/>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embeddings/oleObject7.bin" ContentType="application/vnd.openxmlformats-officedocument.oleObject"/>
  <Override PartName="/xl/drawings/drawing9.xml" ContentType="application/vnd.openxmlformats-officedocument.drawing+xml"/>
  <Override PartName="/xl/worksheets/sheet14.xml" ContentType="application/vnd.openxmlformats-officedocument.spreadsheetml.worksheet+xml"/>
  <Override PartName="/xl/embeddings/oleObject5.bin" ContentType="application/vnd.openxmlformats-officedocument.oleObject"/>
  <Override PartName="/xl/drawings/drawing7.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75" windowWidth="11115" windowHeight="8190" tabRatio="855" activeTab="18"/>
  </bookViews>
  <sheets>
    <sheet name="avvertenze" sheetId="17" r:id="rId1"/>
    <sheet name="elenco" sheetId="1" r:id="rId2"/>
    <sheet name="analisi carichi " sheetId="20" r:id="rId3"/>
    <sheet name="spinta delle terre " sheetId="23" r:id="rId4"/>
    <sheet name="stabilità pendio " sheetId="25" r:id="rId5"/>
    <sheet name="resistenza scivolamento " sheetId="4" r:id="rId6"/>
    <sheet name="resistenza ribaltamento" sheetId="7" r:id="rId7"/>
    <sheet name="resistenza schiacciamento" sheetId="8" r:id="rId8"/>
    <sheet name="rapporto B-H briglie" sheetId="10" r:id="rId9"/>
    <sheet name="rapporto B-H palificata " sheetId="5" r:id="rId10"/>
    <sheet name="formule speditive_ipotesi " sheetId="27" r:id="rId11"/>
    <sheet name="formule speditive_calcolo " sheetId="28" r:id="rId12"/>
    <sheet name="verifica flessione(1)" sheetId="19" r:id="rId13"/>
    <sheet name="verifica flessione(2)" sheetId="21" r:id="rId14"/>
    <sheet name="verifica taglio (1)" sheetId="12" r:id="rId15"/>
    <sheet name="verifica taglio (2)" sheetId="22" r:id="rId16"/>
    <sheet name="sfilamento chiodo" sheetId="13" r:id="rId17"/>
    <sheet name="numero pali e chiodi " sheetId="15" r:id="rId18"/>
    <sheet name="allegato al num. pali e chiodi " sheetId="18" r:id="rId19"/>
  </sheets>
  <definedNames>
    <definedName name="_Toc332021465" localSheetId="11">'formule speditive_calcolo '!$A$1</definedName>
    <definedName name="_Toc358109070" localSheetId="2">'analisi carichi '!#REF!</definedName>
  </definedNames>
  <calcPr calcId="114210"/>
</workbook>
</file>

<file path=xl/calcChain.xml><?xml version="1.0" encoding="utf-8"?>
<calcChain xmlns="http://schemas.openxmlformats.org/spreadsheetml/2006/main">
  <c r="C59" i="23"/>
  <c r="C55"/>
  <c r="C36"/>
  <c r="F41" i="7"/>
  <c r="E39" i="4"/>
  <c r="D40" i="10"/>
  <c r="D32"/>
  <c r="D39"/>
  <c r="D29"/>
  <c r="G26" i="19"/>
  <c r="G24"/>
  <c r="G28"/>
  <c r="G20"/>
  <c r="G16"/>
  <c r="D15" i="12"/>
  <c r="D21"/>
  <c r="G13" i="21"/>
  <c r="E18" i="4"/>
  <c r="E48"/>
  <c r="E49"/>
  <c r="D21" i="25"/>
  <c r="C21" i="23"/>
  <c r="H22" i="20"/>
  <c r="H35"/>
  <c r="F35"/>
  <c r="G35"/>
  <c r="F32"/>
  <c r="H19"/>
  <c r="H18"/>
  <c r="H17"/>
  <c r="H14"/>
  <c r="H9"/>
  <c r="D23" i="21"/>
  <c r="D42"/>
  <c r="D24" i="22"/>
  <c r="F51" i="7"/>
  <c r="H50" i="4"/>
  <c r="E28" i="28"/>
  <c r="E17"/>
  <c r="D24" i="25"/>
  <c r="E24"/>
  <c r="D23"/>
  <c r="E23"/>
  <c r="D22"/>
  <c r="E22"/>
  <c r="E21"/>
  <c r="E26"/>
  <c r="E19"/>
  <c r="D59" i="23"/>
  <c r="E59"/>
  <c r="C57"/>
  <c r="D57"/>
  <c r="E57"/>
  <c r="D55"/>
  <c r="E55"/>
  <c r="F55"/>
  <c r="G55"/>
  <c r="G62"/>
  <c r="C46"/>
  <c r="D46"/>
  <c r="E46"/>
  <c r="C44"/>
  <c r="D44"/>
  <c r="E44"/>
  <c r="C42"/>
  <c r="D42"/>
  <c r="E42"/>
  <c r="C40"/>
  <c r="D40"/>
  <c r="E40"/>
  <c r="C38"/>
  <c r="D38"/>
  <c r="E38"/>
  <c r="F38"/>
  <c r="D36"/>
  <c r="E36"/>
  <c r="F36"/>
  <c r="E21"/>
  <c r="C22"/>
  <c r="C23"/>
  <c r="D26"/>
  <c r="E20"/>
  <c r="G16" i="22"/>
  <c r="G17"/>
  <c r="D25" i="12"/>
  <c r="D27"/>
  <c r="E27"/>
  <c r="D11"/>
  <c r="G12" i="21"/>
  <c r="D21"/>
  <c r="G32" i="19"/>
  <c r="G12"/>
  <c r="E62" i="8"/>
  <c r="F48" i="7"/>
  <c r="F42"/>
  <c r="F43"/>
  <c r="F44"/>
  <c r="E47" i="4"/>
  <c r="E40"/>
  <c r="E41"/>
  <c r="E42"/>
  <c r="E17"/>
  <c r="E11" i="10"/>
  <c r="G62" i="8"/>
  <c r="I9" i="12"/>
  <c r="G31" i="20"/>
  <c r="H31"/>
  <c r="I31"/>
  <c r="G37"/>
  <c r="H37"/>
  <c r="H12"/>
  <c r="G33"/>
  <c r="H33"/>
  <c r="H10"/>
  <c r="H11"/>
  <c r="H13"/>
  <c r="D9" i="19"/>
  <c r="V17" i="18"/>
  <c r="Z25"/>
  <c r="Y25"/>
  <c r="Y28"/>
  <c r="X25"/>
  <c r="W25"/>
  <c r="V25"/>
  <c r="Z24"/>
  <c r="Y24"/>
  <c r="Y27"/>
  <c r="X24"/>
  <c r="X27"/>
  <c r="W24"/>
  <c r="V24"/>
  <c r="V27"/>
  <c r="Z23"/>
  <c r="Y23"/>
  <c r="X23"/>
  <c r="W23"/>
  <c r="V23"/>
  <c r="V26"/>
  <c r="Z22"/>
  <c r="Z28"/>
  <c r="Y22"/>
  <c r="X22"/>
  <c r="X28"/>
  <c r="W22"/>
  <c r="W28"/>
  <c r="V22"/>
  <c r="V28"/>
  <c r="Z21"/>
  <c r="Z27"/>
  <c r="Y21"/>
  <c r="X21"/>
  <c r="W21"/>
  <c r="W27"/>
  <c r="V21"/>
  <c r="Z20"/>
  <c r="Z26"/>
  <c r="Y20"/>
  <c r="Y26"/>
  <c r="X20"/>
  <c r="X26"/>
  <c r="W20"/>
  <c r="W26"/>
  <c r="V20"/>
  <c r="Z19"/>
  <c r="Z35"/>
  <c r="Y19"/>
  <c r="Y35"/>
  <c r="X19"/>
  <c r="X35"/>
  <c r="W19"/>
  <c r="W35"/>
  <c r="V19"/>
  <c r="V35"/>
  <c r="Z18"/>
  <c r="Z34"/>
  <c r="Y18"/>
  <c r="Y34"/>
  <c r="X18"/>
  <c r="X34"/>
  <c r="W18"/>
  <c r="W34"/>
  <c r="V18"/>
  <c r="V34"/>
  <c r="Z17"/>
  <c r="Z33"/>
  <c r="Y17"/>
  <c r="Y33"/>
  <c r="X17"/>
  <c r="X33"/>
  <c r="W17"/>
  <c r="W33"/>
  <c r="V33"/>
  <c r="G47"/>
  <c r="F47"/>
  <c r="E47"/>
  <c r="D47"/>
  <c r="C47"/>
  <c r="G46"/>
  <c r="F46"/>
  <c r="E46"/>
  <c r="D46"/>
  <c r="C46"/>
  <c r="G45"/>
  <c r="F45"/>
  <c r="E45"/>
  <c r="D45"/>
  <c r="C45"/>
  <c r="G44"/>
  <c r="F44"/>
  <c r="E44"/>
  <c r="D44"/>
  <c r="C44"/>
  <c r="G43"/>
  <c r="F43"/>
  <c r="E43"/>
  <c r="D43"/>
  <c r="C43"/>
  <c r="G42"/>
  <c r="F42"/>
  <c r="E42"/>
  <c r="D42"/>
  <c r="C42"/>
  <c r="G36"/>
  <c r="G54"/>
  <c r="F36"/>
  <c r="F37"/>
  <c r="E36"/>
  <c r="E54"/>
  <c r="D36"/>
  <c r="D37"/>
  <c r="C36"/>
  <c r="C54"/>
  <c r="K23" i="15"/>
  <c r="L23"/>
  <c r="J23"/>
  <c r="J10"/>
  <c r="J11"/>
  <c r="I15"/>
  <c r="I11"/>
  <c r="I12"/>
  <c r="I13"/>
  <c r="I14"/>
  <c r="I10"/>
  <c r="E14" i="5"/>
  <c r="F14"/>
  <c r="H14"/>
  <c r="I14"/>
  <c r="E12"/>
  <c r="F12"/>
  <c r="G12"/>
  <c r="H12"/>
  <c r="E13" i="10"/>
  <c r="F13"/>
  <c r="F11"/>
  <c r="G11"/>
  <c r="H11"/>
  <c r="F26" i="13"/>
  <c r="H26"/>
  <c r="F18"/>
  <c r="D18"/>
  <c r="D22"/>
  <c r="D20"/>
  <c r="D17"/>
  <c r="D55" i="18"/>
  <c r="D49"/>
  <c r="D38"/>
  <c r="D39"/>
  <c r="F55"/>
  <c r="F49"/>
  <c r="F38"/>
  <c r="C37"/>
  <c r="C55"/>
  <c r="E37"/>
  <c r="G37"/>
  <c r="G49"/>
  <c r="D48"/>
  <c r="F48"/>
  <c r="D54"/>
  <c r="F54"/>
  <c r="C48"/>
  <c r="E48"/>
  <c r="G48"/>
  <c r="N23" i="15"/>
  <c r="K10"/>
  <c r="L10"/>
  <c r="M23"/>
  <c r="H13" i="10"/>
  <c r="I13"/>
  <c r="G38" i="18"/>
  <c r="G50"/>
  <c r="G55"/>
  <c r="C38"/>
  <c r="C50"/>
  <c r="C49"/>
  <c r="D50"/>
  <c r="E38"/>
  <c r="E55"/>
  <c r="E49"/>
  <c r="F39"/>
  <c r="F51"/>
  <c r="F56"/>
  <c r="F50"/>
  <c r="F57"/>
  <c r="G56"/>
  <c r="E56"/>
  <c r="E50"/>
  <c r="E39"/>
  <c r="C56"/>
  <c r="C39"/>
  <c r="C57"/>
  <c r="C40"/>
  <c r="C58"/>
  <c r="C51"/>
  <c r="E40"/>
  <c r="E57"/>
  <c r="E51"/>
  <c r="E58"/>
  <c r="E52"/>
  <c r="E41"/>
  <c r="E59"/>
  <c r="E53"/>
  <c r="G34" i="19"/>
  <c r="H34"/>
  <c r="D33" i="5"/>
  <c r="D32"/>
  <c r="G14"/>
  <c r="G69" i="23"/>
  <c r="E83"/>
  <c r="E84"/>
  <c r="G63"/>
  <c r="G48"/>
  <c r="G49"/>
  <c r="D51" i="18"/>
  <c r="D40"/>
  <c r="D57"/>
  <c r="D31" i="10"/>
  <c r="G13"/>
  <c r="D29" i="5"/>
  <c r="D30"/>
  <c r="J12" i="15"/>
  <c r="L11"/>
  <c r="K11"/>
  <c r="D22" i="21"/>
  <c r="D24"/>
  <c r="D25"/>
  <c r="D20" i="22"/>
  <c r="D21"/>
  <c r="D39" i="21"/>
  <c r="H15" i="20"/>
  <c r="C41" i="18"/>
  <c r="C52"/>
  <c r="G39"/>
  <c r="F40"/>
  <c r="D56"/>
  <c r="H16" i="20"/>
  <c r="D22" i="22"/>
  <c r="D25"/>
  <c r="D26"/>
  <c r="D23"/>
  <c r="D27"/>
  <c r="D28"/>
  <c r="K12" i="15"/>
  <c r="J13"/>
  <c r="L12"/>
  <c r="D41" i="18"/>
  <c r="D58"/>
  <c r="D52"/>
  <c r="F32" i="7"/>
  <c r="F49"/>
  <c r="H51"/>
  <c r="E29" i="4"/>
  <c r="H23" i="20"/>
  <c r="D28" i="10"/>
  <c r="G57" i="18"/>
  <c r="G40"/>
  <c r="G51"/>
  <c r="C59"/>
  <c r="C53"/>
  <c r="F58"/>
  <c r="F41"/>
  <c r="F52"/>
  <c r="D40" i="21"/>
  <c r="D43"/>
  <c r="D44"/>
  <c r="D41"/>
  <c r="D45"/>
  <c r="D46"/>
  <c r="H20" i="20"/>
  <c r="E50" i="4"/>
  <c r="G50"/>
  <c r="G58" i="18"/>
  <c r="G52"/>
  <c r="G41"/>
  <c r="F13" i="7"/>
  <c r="F20"/>
  <c r="E11" i="8"/>
  <c r="E13" i="4"/>
  <c r="H21" i="20"/>
  <c r="E10" i="8"/>
  <c r="F59" i="18"/>
  <c r="F53"/>
  <c r="D53"/>
  <c r="D59"/>
  <c r="J14" i="15"/>
  <c r="L13"/>
  <c r="K13"/>
  <c r="E20" i="8"/>
  <c r="D26"/>
  <c r="L14" i="15"/>
  <c r="J15"/>
  <c r="K14"/>
  <c r="E12" i="4"/>
  <c r="E19"/>
  <c r="G20"/>
  <c r="F12" i="7"/>
  <c r="F19"/>
  <c r="F21"/>
  <c r="H22"/>
  <c r="G53" i="18"/>
  <c r="G59"/>
  <c r="E37" i="8"/>
  <c r="E38"/>
  <c r="G39"/>
  <c r="D27"/>
  <c r="F27"/>
  <c r="L15" i="15"/>
  <c r="K15"/>
</calcChain>
</file>

<file path=xl/comments1.xml><?xml version="1.0" encoding="utf-8"?>
<comments xmlns="http://schemas.openxmlformats.org/spreadsheetml/2006/main">
  <authors>
    <author>graf1</author>
  </authors>
  <commentList>
    <comment ref="AB7" authorId="0">
      <text>
        <r>
          <rPr>
            <b/>
            <sz val="8"/>
            <color indexed="81"/>
            <rFont val="Tahoma"/>
            <family val="2"/>
          </rPr>
          <t>Tati</t>
        </r>
        <r>
          <rPr>
            <sz val="8"/>
            <color indexed="81"/>
            <rFont val="Tahoma"/>
            <family val="2"/>
          </rPr>
          <t xml:space="preserve">
se ci fossero 24, 28, 32, 36, 40, …
si devono sempre mettere sotto il numero dei piani.
Poi si può estendere la formule in senso orizzontale.
</t>
        </r>
      </text>
    </comment>
  </commentList>
</comments>
</file>

<file path=xl/sharedStrings.xml><?xml version="1.0" encoding="utf-8"?>
<sst xmlns="http://schemas.openxmlformats.org/spreadsheetml/2006/main" count="949" uniqueCount="459">
  <si>
    <t>SPINTA DELLE TERRE</t>
  </si>
  <si>
    <t>RESISTENZA A SCIVOLAMENTO</t>
  </si>
  <si>
    <t>RESISTENZA AL RIBALTAMENTO</t>
  </si>
  <si>
    <t>RESISTENZA A SCHIACCIAMENTO</t>
  </si>
  <si>
    <t>SFILAMENTO CHIODO</t>
  </si>
  <si>
    <t>NUMERO PALI E CHIODI</t>
  </si>
  <si>
    <t>CALCOLO DISTANZA TRA I MONTANTI</t>
  </si>
  <si>
    <t>RAPPORTO B/H BRIGLIE IN LEGNAME E PIETRAME</t>
  </si>
  <si>
    <t>RAPPORTO B/H PALIFICATE VIVE DI SOSTEGNO</t>
  </si>
  <si>
    <t xml:space="preserve"> </t>
  </si>
  <si>
    <t xml:space="preserve">CALCOLI </t>
  </si>
  <si>
    <t>La valutazione teorica con metodo analitico, ai sensi del D.M. 14,01,2008, della lunghezza del tratto attivo (L) è ottenuta imponendo la seguente condizione di equilibrio:</t>
  </si>
  <si>
    <t>dove:</t>
  </si>
  <si>
    <t>m</t>
  </si>
  <si>
    <r>
      <t xml:space="preserve"> </t>
    </r>
    <r>
      <rPr>
        <sz val="16"/>
        <rFont val="Symbol"/>
        <family val="1"/>
        <charset val="2"/>
      </rPr>
      <t>g</t>
    </r>
    <r>
      <rPr>
        <sz val="11"/>
        <rFont val="Symbol"/>
        <family val="1"/>
        <charset val="2"/>
      </rPr>
      <t xml:space="preserve"> </t>
    </r>
    <r>
      <rPr>
        <sz val="11"/>
        <rFont val="Arial"/>
        <family val="2"/>
      </rPr>
      <t>= peso per unità di volume (N/m³)</t>
    </r>
  </si>
  <si>
    <t>N/m³</t>
  </si>
  <si>
    <t>N/m²</t>
  </si>
  <si>
    <t>kPa</t>
  </si>
  <si>
    <t>N</t>
  </si>
  <si>
    <t>Kg</t>
  </si>
  <si>
    <t>°</t>
  </si>
  <si>
    <r>
      <t>tan</t>
    </r>
    <r>
      <rPr>
        <sz val="11"/>
        <rFont val="Symbol"/>
        <family val="1"/>
        <charset val="2"/>
      </rPr>
      <t xml:space="preserve"> f</t>
    </r>
    <r>
      <rPr>
        <sz val="11"/>
        <rFont val="Arial"/>
        <family val="2"/>
      </rPr>
      <t xml:space="preserve"> </t>
    </r>
  </si>
  <si>
    <t xml:space="preserve">K=coefficiente di spinta attiva </t>
  </si>
  <si>
    <t>num</t>
  </si>
  <si>
    <t>1N</t>
  </si>
  <si>
    <t>0,1kg</t>
  </si>
  <si>
    <t>1tonn</t>
  </si>
  <si>
    <t>1000kg</t>
  </si>
  <si>
    <t>1Pa</t>
  </si>
  <si>
    <t>1N/m²</t>
  </si>
  <si>
    <t>Quindi:</t>
  </si>
  <si>
    <t xml:space="preserve">ANALISI DEI PESI </t>
  </si>
  <si>
    <t>L2</t>
  </si>
  <si>
    <t>L1</t>
  </si>
  <si>
    <t>S</t>
  </si>
  <si>
    <t>peso terreno</t>
  </si>
  <si>
    <t xml:space="preserve">carico gravante </t>
  </si>
  <si>
    <t xml:space="preserve">AREA DI INFLUENZA </t>
  </si>
  <si>
    <t xml:space="preserve">verifica a sfilamento di un picchetto </t>
  </si>
  <si>
    <t xml:space="preserve">GRATA VIVA VESUVIO - sec . MENEGAZZI </t>
  </si>
  <si>
    <t xml:space="preserve">Il coefficiente di spinta attiva (Ka) viene calcolato con la formula di Rankine   </t>
  </si>
  <si>
    <r>
      <t>Ka = tang</t>
    </r>
    <r>
      <rPr>
        <b/>
        <vertAlign val="superscript"/>
        <sz val="12"/>
        <rFont val="Arial"/>
        <family val="2"/>
      </rPr>
      <t>2</t>
    </r>
    <r>
      <rPr>
        <b/>
        <sz val="12"/>
        <rFont val="Arial"/>
        <family val="2"/>
      </rPr>
      <t>(45°-φ/2)</t>
    </r>
  </si>
  <si>
    <t>φ                                angolo attrito interno      (gradi)</t>
  </si>
  <si>
    <t>45°-φ/2      (gradi)</t>
  </si>
  <si>
    <t>45°-φ/2 (radianti)</t>
  </si>
  <si>
    <t>tang(45°-φ/2)</t>
  </si>
  <si>
    <t xml:space="preserve">Ka        </t>
  </si>
  <si>
    <t>α                          inclinazione verso monte della base dell'opera rispetto all'orizzontale              (gradi)</t>
  </si>
  <si>
    <t xml:space="preserve">α            (radianti) </t>
  </si>
  <si>
    <t>cosα</t>
  </si>
  <si>
    <t>cos²α</t>
  </si>
  <si>
    <t>tanα</t>
  </si>
  <si>
    <t>tan²α</t>
  </si>
  <si>
    <t xml:space="preserve">peso specifico terreno asciutto = 19 kN/m³      </t>
  </si>
  <si>
    <t xml:space="preserve">f                         Coefficiente attrito briglia e fondazione        </t>
  </si>
  <si>
    <t>B/H (spinta del terreno)</t>
  </si>
  <si>
    <t>RIBALTAMENTO</t>
  </si>
  <si>
    <t>B/H (spinta idrostatica)</t>
  </si>
  <si>
    <t>SCORRIMENTO</t>
  </si>
  <si>
    <r>
      <t>K</t>
    </r>
    <r>
      <rPr>
        <vertAlign val="subscript"/>
        <sz val="12"/>
        <rFont val="Arial"/>
        <family val="2"/>
      </rPr>
      <t xml:space="preserve">a </t>
    </r>
    <r>
      <rPr>
        <sz val="12"/>
        <rFont val="Arial"/>
        <family val="2"/>
      </rPr>
      <t>può essere calcolato con la formula di Rankine e dipende dall'angolo d'attrito del terreno (φ)</t>
    </r>
  </si>
  <si>
    <t>Ka = tang(45°-φ/2)</t>
  </si>
  <si>
    <t>spinta con inclinazione β pari a 0</t>
  </si>
  <si>
    <t>spinta con inclinazione β diversa da 0</t>
  </si>
  <si>
    <t>θ</t>
  </si>
  <si>
    <r>
      <t>N</t>
    </r>
    <r>
      <rPr>
        <vertAlign val="subscript"/>
        <sz val="11"/>
        <color indexed="8"/>
        <rFont val="Calibri"/>
        <family val="2"/>
      </rPr>
      <t xml:space="preserve">c </t>
    </r>
  </si>
  <si>
    <r>
      <t>N</t>
    </r>
    <r>
      <rPr>
        <b/>
        <vertAlign val="subscript"/>
        <sz val="11"/>
        <color indexed="8"/>
        <rFont val="Arial"/>
        <family val="2"/>
      </rPr>
      <t>q</t>
    </r>
  </si>
  <si>
    <r>
      <t>N</t>
    </r>
    <r>
      <rPr>
        <b/>
        <vertAlign val="subscript"/>
        <sz val="11"/>
        <color indexed="8"/>
        <rFont val="Times New Roman"/>
        <family val="1"/>
      </rPr>
      <t>γ</t>
    </r>
  </si>
  <si>
    <t xml:space="preserve">gradi </t>
  </si>
  <si>
    <t xml:space="preserve">Prandtl </t>
  </si>
  <si>
    <t>Reissner</t>
  </si>
  <si>
    <t>Hansen</t>
  </si>
  <si>
    <t>input</t>
  </si>
  <si>
    <t>Sigma ammissibile (N/mm²)</t>
  </si>
  <si>
    <t>coeff sic = 1,5</t>
  </si>
  <si>
    <t>castagno</t>
  </si>
  <si>
    <t>PALIFICATA VIVA DI SOSTEGNO</t>
  </si>
  <si>
    <t>Lunghezza palificata</t>
  </si>
  <si>
    <t>lunghezza correnti</t>
  </si>
  <si>
    <t>lunghezza montanti</t>
  </si>
  <si>
    <t>interasse montanti</t>
  </si>
  <si>
    <t>numero piani</t>
  </si>
  <si>
    <t>numero correnti</t>
  </si>
  <si>
    <t>numero montanti</t>
  </si>
  <si>
    <t>metri palo</t>
  </si>
  <si>
    <t>numero chiodi</t>
  </si>
  <si>
    <t>PALIFICATA SPONDALE FLORINETH</t>
  </si>
  <si>
    <t>interasse pali verticali</t>
  </si>
  <si>
    <t>lunghezza pali verticali</t>
  </si>
  <si>
    <t>numero incroci</t>
  </si>
  <si>
    <t>PALIFICATA CON CORRENTI DA 4 m</t>
  </si>
  <si>
    <t>piano</t>
  </si>
  <si>
    <t>lunghezza</t>
  </si>
  <si>
    <t>montanti</t>
  </si>
  <si>
    <t>piano 1</t>
  </si>
  <si>
    <t>piano 2</t>
  </si>
  <si>
    <t>piano 3</t>
  </si>
  <si>
    <t>piano 4</t>
  </si>
  <si>
    <t>piano 5</t>
  </si>
  <si>
    <t>piano 6</t>
  </si>
  <si>
    <t>correnti</t>
  </si>
  <si>
    <t>metri pali</t>
  </si>
  <si>
    <t>chiodi</t>
  </si>
  <si>
    <t>PALIFICATA VIVA A DOPPIA PARETE</t>
  </si>
  <si>
    <t>PALIFICATA TIPO FLORINETH</t>
  </si>
  <si>
    <t>TABELLA PIANI LUNGHEZZE</t>
  </si>
  <si>
    <t>lunghezze</t>
  </si>
  <si>
    <t>TABELLA NUMERO ELEMENTI</t>
  </si>
  <si>
    <t>incroci</t>
  </si>
  <si>
    <t>TABELLA METRI PALI</t>
  </si>
  <si>
    <t>m pali</t>
  </si>
  <si>
    <t>FORMULE</t>
  </si>
  <si>
    <t>Numero correnti</t>
  </si>
  <si>
    <t>numero piani*lunghezza palificata/lunghezza correnti+lunghezza palificata/lunghezza correnti</t>
  </si>
  <si>
    <t xml:space="preserve">Condizione di verifica </t>
  </si>
  <si>
    <t xml:space="preserve">Modulo resistente </t>
  </si>
  <si>
    <t>peso specifico (N/m³)</t>
  </si>
  <si>
    <t>Carico (N/m):</t>
  </si>
  <si>
    <t>diametro (m):</t>
  </si>
  <si>
    <r>
      <t>Modulo trave W (m</t>
    </r>
    <r>
      <rPr>
        <vertAlign val="superscript"/>
        <sz val="10"/>
        <rFont val="Arial"/>
        <family val="2"/>
      </rPr>
      <t>4</t>
    </r>
    <r>
      <rPr>
        <sz val="11"/>
        <color theme="1"/>
        <rFont val="Calibri"/>
        <family val="2"/>
        <scheme val="minor"/>
      </rPr>
      <t>):</t>
    </r>
  </si>
  <si>
    <t xml:space="preserve">Sigma risultante </t>
  </si>
  <si>
    <t>peso specifico (kN/m³)</t>
  </si>
  <si>
    <t>imput</t>
  </si>
  <si>
    <t>somma peso applicato (N/m³)</t>
  </si>
  <si>
    <t>carico  applicato acc (N/m²)</t>
  </si>
  <si>
    <t>H</t>
  </si>
  <si>
    <t>f</t>
  </si>
  <si>
    <t>a</t>
  </si>
  <si>
    <t>b</t>
  </si>
  <si>
    <t>Kg/m²</t>
  </si>
  <si>
    <t xml:space="preserve">PESO SPECIFICO LEGNO </t>
  </si>
  <si>
    <t xml:space="preserve">PESO SPECIFICO TERRENO </t>
  </si>
  <si>
    <t xml:space="preserve">ALTEZZA PALIFICATA </t>
  </si>
  <si>
    <t xml:space="preserve">ANGOLO DI ATTRITO SUOLO </t>
  </si>
  <si>
    <t>PESO SPECIFICO ACQUA</t>
  </si>
  <si>
    <t>B</t>
  </si>
  <si>
    <t xml:space="preserve">INCLINAZIONE DELLA PALIFICATA RISPETTO ALL'ORIZZONTALE </t>
  </si>
  <si>
    <t xml:space="preserve">INCLINAZIONE DEL TERRENO A MONTE DELL'OPERA DI SOSTEGNO </t>
  </si>
  <si>
    <t>BASE DELLA PALIFICATA</t>
  </si>
  <si>
    <t xml:space="preserve">LARICE </t>
  </si>
  <si>
    <t xml:space="preserve">CORRENTI </t>
  </si>
  <si>
    <t xml:space="preserve">DIAMETRO PALERIA </t>
  </si>
  <si>
    <t>D</t>
  </si>
  <si>
    <t>INPUT</t>
  </si>
  <si>
    <t>OUTPUT</t>
  </si>
  <si>
    <t xml:space="preserve">LUNGHEZZA DELLA PALIFICATA </t>
  </si>
  <si>
    <t>L</t>
  </si>
  <si>
    <t xml:space="preserve">TRAVERSI </t>
  </si>
  <si>
    <t xml:space="preserve">VOLUME AL METRO DI PALO DI LEGNO </t>
  </si>
  <si>
    <t>PIANI DELLA PALIFICATA COMPLETI ( MONTANTE E TRAVERSO )</t>
  </si>
  <si>
    <t>NUM</t>
  </si>
  <si>
    <t xml:space="preserve">INTERASSE PALI TRAVERSI </t>
  </si>
  <si>
    <t xml:space="preserve">METRI DI PALO DI PROGETTO </t>
  </si>
  <si>
    <t xml:space="preserve">LUNGHEZZA DEL PALO DI PROGETTO TRAVERSI </t>
  </si>
  <si>
    <t xml:space="preserve">LUNGHEZZA DEL PALO DI PROGETTO CORRENTI </t>
  </si>
  <si>
    <t xml:space="preserve">VOLUME DI LEGNO </t>
  </si>
  <si>
    <t xml:space="preserve">VOLUME DI LEGNO PER METRO DI PALIFICATA </t>
  </si>
  <si>
    <t xml:space="preserve">VOLUME DEL TERRENO </t>
  </si>
  <si>
    <t xml:space="preserve">PESO DEL LEGNO AL METRO DI PALIFICATA </t>
  </si>
  <si>
    <t xml:space="preserve">PESO DEL LEGNO  DELLA PALIFICATA </t>
  </si>
  <si>
    <t xml:space="preserve">PESO DEL TERRENO AL METRO DI INTERVENTO </t>
  </si>
  <si>
    <t>PESO COMPLESSIVO DI UN METRO DI SVILUPPO DI PALIFICATA VIVA</t>
  </si>
  <si>
    <t xml:space="preserve">COESIONE TERRENO </t>
  </si>
  <si>
    <t xml:space="preserve">COEFFICIENTE DI SPINTA ATTIVA </t>
  </si>
  <si>
    <t xml:space="preserve">SPINTA ATTIVA </t>
  </si>
  <si>
    <t xml:space="preserve">note : </t>
  </si>
  <si>
    <t xml:space="preserve">VOLUME DEL TERRENO EFFETTIVO </t>
  </si>
  <si>
    <t xml:space="preserve">COEFFICIENTE DI ATTRITO TRA BASE DELLA PALIFICATA E FONDAZIONE </t>
  </si>
  <si>
    <t xml:space="preserve">RADIANTI </t>
  </si>
  <si>
    <t xml:space="preserve">VERIFICA A SCIVOLAMENTO </t>
  </si>
  <si>
    <t>FS sciv</t>
  </si>
  <si>
    <t>FS ammissibile</t>
  </si>
  <si>
    <t xml:space="preserve">BASE DELLA PALIFICATA </t>
  </si>
  <si>
    <t>MOMENTO STABILIZZANTE</t>
  </si>
  <si>
    <t>M stabilizzante</t>
  </si>
  <si>
    <t xml:space="preserve">kgm </t>
  </si>
  <si>
    <t>MOMENTO RIBALTANTE</t>
  </si>
  <si>
    <t>M ribaltante</t>
  </si>
  <si>
    <t xml:space="preserve">ALTEZZA DELLA PALIFICATA </t>
  </si>
  <si>
    <t xml:space="preserve">m </t>
  </si>
  <si>
    <t xml:space="preserve">VERIFICA A RIBALTAMENTO </t>
  </si>
  <si>
    <t xml:space="preserve">FS ribaltamento </t>
  </si>
  <si>
    <t>e</t>
  </si>
  <si>
    <t>cm</t>
  </si>
  <si>
    <t>σ max</t>
  </si>
  <si>
    <t xml:space="preserve">FS schiacciamento </t>
  </si>
  <si>
    <t>CARICO TOLLERABILE</t>
  </si>
  <si>
    <t>B/6 * e =</t>
  </si>
  <si>
    <t>radianti</t>
  </si>
  <si>
    <t>ANGOLO DI ATTRITO INTERNO</t>
  </si>
  <si>
    <t xml:space="preserve">ANGOLO DI ATTRITO OPERA-TERRENO </t>
  </si>
  <si>
    <t>δ</t>
  </si>
  <si>
    <t>ALTEZZA DEL TERRAPIENO</t>
  </si>
  <si>
    <t>kg/m</t>
  </si>
  <si>
    <t>CALCOLO DI Ka (COEFFICIENTE SEMPLIFICATO)</t>
  </si>
  <si>
    <t>CALCOLO DI Ka (COEFFICIENTE COMPLETO)</t>
  </si>
  <si>
    <t>cos</t>
  </si>
  <si>
    <t>coseno</t>
  </si>
  <si>
    <r>
      <t xml:space="preserve">a + </t>
    </r>
    <r>
      <rPr>
        <sz val="11"/>
        <color indexed="8"/>
        <rFont val="Calibri"/>
        <family val="2"/>
      </rPr>
      <t>δ</t>
    </r>
  </si>
  <si>
    <t>seno</t>
  </si>
  <si>
    <r>
      <t xml:space="preserve">a - </t>
    </r>
    <r>
      <rPr>
        <sz val="11"/>
        <color indexed="8"/>
        <rFont val="Calibri"/>
        <family val="2"/>
      </rPr>
      <t>β</t>
    </r>
  </si>
  <si>
    <t>β</t>
  </si>
  <si>
    <t xml:space="preserve">ANALISI CARICHI </t>
  </si>
  <si>
    <t xml:space="preserve">FLESSIONE CORRENTE O MONTANTE: APPROCCIO BASATO SULLE FORZE </t>
  </si>
  <si>
    <t>Sollecitazioni flessionali sui correnti</t>
  </si>
  <si>
    <t>Flessione a trazione sui montanti</t>
  </si>
  <si>
    <t>diposizione alternata</t>
  </si>
  <si>
    <t xml:space="preserve">disposizione continua </t>
  </si>
  <si>
    <t xml:space="preserve">RESISTENZA A TAGLIO DEL CORRENTE NEL PUNTO DI CHIODATURA: APPROCCIO BASATO SULLE FORZE </t>
  </si>
  <si>
    <t>Sforzo di taglio su correnti e montanti</t>
  </si>
  <si>
    <t xml:space="preserve">sezione circolare </t>
  </si>
  <si>
    <t>disposizione alternata</t>
  </si>
  <si>
    <t>disposizione continua</t>
  </si>
  <si>
    <t>INTERASSE CORRENTE</t>
  </si>
  <si>
    <t>INTERASSE MONTANTE</t>
  </si>
  <si>
    <t>b'</t>
  </si>
  <si>
    <t xml:space="preserve">PESO SPECIFICO DEL MATERIALE DI RIEMPIMENTO </t>
  </si>
  <si>
    <r>
      <t>γ</t>
    </r>
    <r>
      <rPr>
        <vertAlign val="subscript"/>
        <sz val="11"/>
        <color indexed="8"/>
        <rFont val="Calibri"/>
        <family val="2"/>
      </rPr>
      <t>pr</t>
    </r>
  </si>
  <si>
    <r>
      <t>p</t>
    </r>
    <r>
      <rPr>
        <vertAlign val="subscript"/>
        <sz val="11"/>
        <color indexed="8"/>
        <rFont val="Calibri"/>
        <family val="2"/>
      </rPr>
      <t xml:space="preserve"> hz max</t>
    </r>
  </si>
  <si>
    <t>PRESSIONE UNITARIA ORIZZONTALE MASSIMA</t>
  </si>
  <si>
    <t>tangente</t>
  </si>
  <si>
    <t xml:space="preserve">CARICO UNIFORME </t>
  </si>
  <si>
    <t>Q</t>
  </si>
  <si>
    <t>N/m2</t>
  </si>
  <si>
    <t>DIAMETRO DEI CORRENTI</t>
  </si>
  <si>
    <t xml:space="preserve">TENSIONE DI FLESSIONE MASSIMA </t>
  </si>
  <si>
    <r>
      <t xml:space="preserve"> </t>
    </r>
    <r>
      <rPr>
        <sz val="11"/>
        <color indexed="8"/>
        <rFont val="Calibri"/>
        <family val="2"/>
      </rPr>
      <t>σ</t>
    </r>
    <r>
      <rPr>
        <vertAlign val="subscript"/>
        <sz val="11"/>
        <color indexed="8"/>
        <rFont val="Calibri"/>
        <family val="2"/>
      </rPr>
      <t>fl.max</t>
    </r>
  </si>
  <si>
    <t>D'</t>
  </si>
  <si>
    <t>DIAMETRO MONTANTI</t>
  </si>
  <si>
    <t>LUCE DELLA TRAVE SU CUI AGISCE IL CARICO Q</t>
  </si>
  <si>
    <r>
      <t xml:space="preserve">l </t>
    </r>
    <r>
      <rPr>
        <vertAlign val="subscript"/>
        <sz val="8"/>
        <color indexed="8"/>
        <rFont val="Calibri"/>
        <family val="2"/>
      </rPr>
      <t>i</t>
    </r>
  </si>
  <si>
    <t>DISTANZA TRA DUE MONATNTI SUCCESSIVI</t>
  </si>
  <si>
    <t>i'</t>
  </si>
  <si>
    <t xml:space="preserve">N </t>
  </si>
  <si>
    <t>FORZA DI TRAZIONE (DISPOSIZIONE ALTERNATA)</t>
  </si>
  <si>
    <t>FORZA DI TRAZIONE (DISPOSIZIONE CONTINUA)</t>
  </si>
  <si>
    <t>SOLLECITAZIONE A TRAZIONE MASSIMA (DISPOSIZIONE ALTERNATA)</t>
  </si>
  <si>
    <t>SOLLECITAZIONE A TRAZIONE MASSIMA (DISPOSIZIONE CONTINUA)</t>
  </si>
  <si>
    <r>
      <t xml:space="preserve"> </t>
    </r>
    <r>
      <rPr>
        <sz val="11"/>
        <color indexed="8"/>
        <rFont val="Calibri"/>
        <family val="2"/>
      </rPr>
      <t>σ</t>
    </r>
    <r>
      <rPr>
        <vertAlign val="subscript"/>
        <sz val="11"/>
        <color indexed="8"/>
        <rFont val="Calibri"/>
        <family val="2"/>
      </rPr>
      <t>traz.max</t>
    </r>
  </si>
  <si>
    <t>AREA DELLA SEZIONE DEL TONDAME INPIEGATO</t>
  </si>
  <si>
    <t>A</t>
  </si>
  <si>
    <t xml:space="preserve">BASE DELL'OPERA </t>
  </si>
  <si>
    <t xml:space="preserve">PRESSIONE VERTICALE MASSIMA </t>
  </si>
  <si>
    <r>
      <t>p</t>
    </r>
    <r>
      <rPr>
        <vertAlign val="subscript"/>
        <sz val="11"/>
        <color indexed="8"/>
        <rFont val="Calibri"/>
        <family val="2"/>
      </rPr>
      <t xml:space="preserve"> vz max</t>
    </r>
  </si>
  <si>
    <t>FORZA DI TAGLIO (DISPOSIZIONE ALTERNATA)</t>
  </si>
  <si>
    <t>FORZA DI TAGLIO (DISPOSIZIONE CONTINUA)</t>
  </si>
  <si>
    <t>T</t>
  </si>
  <si>
    <t xml:space="preserve">AREA DELLA SEZIONE CONSIDERATA </t>
  </si>
  <si>
    <t>SFORZO TANGENZIALE (SEZIONE CIRCOLARE, DISPOSIZIONE ALTERNATA)</t>
  </si>
  <si>
    <t>SFORZO TANGENZIALE (SEZIONE CIRCOLARE, DISPOSIZIONE CONTINUA)</t>
  </si>
  <si>
    <t xml:space="preserve">spinta attiva del terreno sottoposto ad un sovraccarico </t>
  </si>
  <si>
    <t>SOVRACCARICO</t>
  </si>
  <si>
    <t xml:space="preserve">kg </t>
  </si>
  <si>
    <t xml:space="preserve">PESO SPECIFICO OPERA  </t>
  </si>
  <si>
    <t xml:space="preserve">PESO SPECIFICO EFFICACE </t>
  </si>
  <si>
    <r>
      <t>g</t>
    </r>
    <r>
      <rPr>
        <sz val="11"/>
        <color indexed="8"/>
        <rFont val="Calibri"/>
        <family val="2"/>
      </rPr>
      <t>'</t>
    </r>
  </si>
  <si>
    <t>RADIANTI</t>
  </si>
  <si>
    <t>TANGENTE</t>
  </si>
  <si>
    <r>
      <t>g</t>
    </r>
    <r>
      <rPr>
        <vertAlign val="subscript"/>
        <sz val="11"/>
        <color indexed="8"/>
        <rFont val="Calibri"/>
        <family val="2"/>
      </rPr>
      <t>op</t>
    </r>
    <r>
      <rPr>
        <sz val="11"/>
        <color indexed="8"/>
        <rFont val="AcadEref"/>
      </rPr>
      <t>L</t>
    </r>
  </si>
  <si>
    <t>COSENO</t>
  </si>
  <si>
    <t xml:space="preserve">BASE PALIFICATA </t>
  </si>
  <si>
    <t>COESIONE TERRENO</t>
  </si>
  <si>
    <t>c</t>
  </si>
  <si>
    <t>VERIFICA A RIBALTAMENTO</t>
  </si>
  <si>
    <t>VERIFICA A SCHIACCIAMENTO</t>
  </si>
  <si>
    <r>
      <t>s</t>
    </r>
    <r>
      <rPr>
        <vertAlign val="subscript"/>
        <sz val="11"/>
        <color indexed="8"/>
        <rFont val="Calibri"/>
        <family val="2"/>
      </rPr>
      <t>c</t>
    </r>
  </si>
  <si>
    <r>
      <t>s</t>
    </r>
    <r>
      <rPr>
        <vertAlign val="subscript"/>
        <sz val="11"/>
        <color indexed="8"/>
        <rFont val="Calibri"/>
        <family val="2"/>
      </rPr>
      <t>γ</t>
    </r>
  </si>
  <si>
    <t>FATTORE DI FORMA DELLA FONDAZIONE (NASTRIFORME)</t>
  </si>
  <si>
    <t>verifica secondo D.M. 10/03/88</t>
  </si>
  <si>
    <t>Resistenza a scivolamento: formula estesa</t>
  </si>
  <si>
    <t>dato da foglio analisi carichi</t>
  </si>
  <si>
    <t>Resistenza a ribaltamento: formula estesa</t>
  </si>
  <si>
    <t xml:space="preserve">Il centro di sollecitazione è interno al terzo medio di valle, in quanto </t>
  </si>
  <si>
    <t>Resistenza a schiacciamento: formula estesa</t>
  </si>
  <si>
    <t xml:space="preserve">dato da foglio resistenza a ribaltamento </t>
  </si>
  <si>
    <t>FLESSIONE CORRENTE O MONTANTE (APPROCCIO BASATO SULLE FORZE)</t>
  </si>
  <si>
    <t>FLESSIONE CORRENTE O MONTANTE (APPROCCIO BASATO SULLE PRESSIONI)</t>
  </si>
  <si>
    <t>RESISTENZA A TAGLIO DEL CORRENTE NEL PUNTO DI CHIODATURA (APPROCCIO BASATO SULLE FORZE)</t>
  </si>
  <si>
    <t>RESISTENZA A TAGLIO DEL CORRENTE NEL PUNTO DI CHIODATURA (APPROCCIO BASATO SULLE PRESSIONI)</t>
  </si>
  <si>
    <t xml:space="preserve">BASE REALE DELL'OPERA </t>
  </si>
  <si>
    <t>dato da foglio verifica a flessione(2)</t>
  </si>
  <si>
    <t>N/mm²</t>
  </si>
  <si>
    <t xml:space="preserve">confronta il valore con valori tabellari di riferimento </t>
  </si>
  <si>
    <r>
      <rPr>
        <b/>
        <sz val="11"/>
        <color indexed="8"/>
        <rFont val="Calibri"/>
        <family val="2"/>
      </rPr>
      <t>DICHIARAZIONE DI RESPONSABILITA'</t>
    </r>
    <r>
      <rPr>
        <sz val="11"/>
        <color theme="1"/>
        <rFont val="Calibri"/>
        <family val="2"/>
        <scheme val="minor"/>
      </rPr>
      <t xml:space="preserve">
Le informazioni e le formule contenute nei file di calcolo sono fornite quale allegato al libro il DIMENSIONAMENTO DELLE OPERE DI INGEGNERIA NATURALISTICA – ASPETTI INNOVATIVI E VERIFICHE PREIMINARI pubblicato dalla Regione Lazio nell’anno 2013. Queste costituiscono strumento operativo di calcolo per tutti coloro che sono interessati a svolgere calcoli preliminari di dimensionamento delle opere di ingegneria naturalistica.
Gli autori ritengono di aver compilato i file di calcolo con la necessaria cura ed attenzione al fine di renderli attendibili e scevri da errori, ma non asseriscono che le informazioni in essi contenute, siano precise, verificate, complete o universalmente valide in tutte le situazioni in cui esse sono impiegabili e comunque tali fogli di calcolo sono finalizzati ad una verifica di predimensionamento e non al dimensionamento vero e proprio.
Gli Autori  non offrono nessuna garanzia in merito alla precisione delle formule contenute nei file di calcolo e declinano qualsiasi responsabilità per errori, perdite o danni, qualunque ne sia la causa, derivanti dall'uso dei fogli di calcolo. Declinano pertanto ogni qualsivoglia responsabilità sulle conseguenze dell’impiego di tali fogli di calcolo. L’uso degli stessi è pertanto sotto la responsabilità del fruitore che ne risponderà civilmente e penalmente.
Usando gli indirizzi di contatto di questo sito, si potranno comunicare eventuali errori o suggerire eventuali miglioramenti ai fogli di calcolo,  contribuendo così all’aggiornamento continuo degli stessi che resteranno scaricabili on-line dal sito della Regione Lazio con indicazione delle versioni successive. 
Gli autori si riservano, verificato quanto comunicato dagli utenti, di diffondere i miglioramenti aggiornando le versioni nel tempo. Gli autori non hanno tuttavia nessun controllo sulla natura e sul contenuto degli aggiornamenti messi in linea da parte della Regione Lazio e pertanto l’eventuale non messa in linea degli aggiornamenti è da attribuire alla Regione stessa.
I contenuti dei fogli di calcolo risultano gratuiti, liberi e non bloccati.
Tale condizione potrebbe causare la cancellazione o la manomissione involontaria delle formule e dei collegamenti. Risulta pertanto necessario porre la massima attenzione nell'utilizzatore dei fogli stessi, ponendo particolare attenzione sia agli input (numeri da inserire), sia alle caselle di rimando e di calcolo che potrebbero venire cancellate o modificate in toto o in parte, portando di conseguenza a risultati errati.
Per tali ragioni si invita pertanto l'utilizzatore a verificare sempre la coerenza dei dati di output, dei dati e dimensione dei risultati ottenuti, dati di cui l’utente risponde personalmente innanzi alla legge quale progettista delle opere sia civilmente che penalmente.
Si sollecita pertanto sempre e comunque una verifica a posteriori, anche con altri metodi, dei risultati ottenuti con l’impiego dei fogli di calcolo.
</t>
    </r>
  </si>
  <si>
    <t xml:space="preserve">calcolo del fronte di scavo </t>
  </si>
  <si>
    <t xml:space="preserve">coesione </t>
  </si>
  <si>
    <t xml:space="preserve">c  </t>
  </si>
  <si>
    <t xml:space="preserve">altezza di scavo </t>
  </si>
  <si>
    <r>
      <t xml:space="preserve">ATTENZIONE: </t>
    </r>
    <r>
      <rPr>
        <sz val="10"/>
        <rFont val="Arial"/>
        <family val="2"/>
      </rPr>
      <t>le caselle da impiegare per inserire i dati di input sono quelle con sfondo in colore GIALLO</t>
    </r>
  </si>
  <si>
    <t>: valori da inserire</t>
  </si>
  <si>
    <t xml:space="preserve">Altezza strato di terreno </t>
  </si>
  <si>
    <t>z</t>
  </si>
  <si>
    <t xml:space="preserve">Peso specifico del terreno </t>
  </si>
  <si>
    <t>u</t>
  </si>
  <si>
    <t xml:space="preserve">pressione idrica </t>
  </si>
  <si>
    <t>FS</t>
  </si>
  <si>
    <t>Si procede ora all’analisi di stabilità di un pendio ipotizzando come caso studio di avere un pendio costante di estensione illimitata con una superficie di rottura planare e con profondità modesta se paragonata alla lunghezza della superficie di rottura. Pertanto tra i diversi metodi proposti quello più adatto risulta essere il metodo del pendio indefinito.</t>
  </si>
  <si>
    <t xml:space="preserve">Coesione efficace del terreno </t>
  </si>
  <si>
    <t>STABILITÀ PENDIO INDEFINITO - rottura planare</t>
  </si>
  <si>
    <t xml:space="preserve">lunghezza del segmento di strato di terreno </t>
  </si>
  <si>
    <t xml:space="preserve">Fattore di sicurezza </t>
  </si>
  <si>
    <t>STABILITÀ PENDIO INDEFINITO</t>
  </si>
  <si>
    <r>
      <t>·</t>
    </r>
    <r>
      <rPr>
        <sz val="7"/>
        <rFont val="Times New Roman"/>
        <family val="1"/>
      </rPr>
      <t xml:space="preserve">        </t>
    </r>
    <r>
      <rPr>
        <sz val="11"/>
        <rFont val="Arial"/>
        <family val="2"/>
      </rPr>
      <t>Tali formule sono state ricavate per interpolazione analitica dei valori di B, ottenuti dalle diverse combinazioni dei parametri geometrici, tali da soddisfare la condizione di equilibrio al ribaltamento con coefficiente di sicurezza pari a 1,5.</t>
    </r>
  </si>
  <si>
    <r>
      <t>·</t>
    </r>
    <r>
      <rPr>
        <sz val="7"/>
        <rFont val="Times New Roman"/>
        <family val="1"/>
      </rPr>
      <t xml:space="preserve">        </t>
    </r>
    <r>
      <rPr>
        <sz val="11"/>
        <rFont val="Arial"/>
        <family val="2"/>
      </rPr>
      <t>Nel calcolo alcune grandezze sono state fissate a priori:</t>
    </r>
  </si>
  <si>
    <t>D (m)</t>
  </si>
  <si>
    <r>
      <t>g</t>
    </r>
    <r>
      <rPr>
        <vertAlign val="subscript"/>
        <sz val="11"/>
        <rFont val="Arial"/>
        <family val="2"/>
      </rPr>
      <t xml:space="preserve">t </t>
    </r>
    <r>
      <rPr>
        <sz val="11"/>
        <rFont val="Arial"/>
        <family val="2"/>
      </rPr>
      <t>(N/m³)</t>
    </r>
  </si>
  <si>
    <r>
      <t>g</t>
    </r>
    <r>
      <rPr>
        <vertAlign val="subscript"/>
        <sz val="11"/>
        <rFont val="Arial"/>
        <family val="2"/>
      </rPr>
      <t xml:space="preserve">pr </t>
    </r>
    <r>
      <rPr>
        <sz val="11"/>
        <rFont val="Arial"/>
        <family val="2"/>
      </rPr>
      <t>(N/m³)</t>
    </r>
  </si>
  <si>
    <r>
      <t>g</t>
    </r>
    <r>
      <rPr>
        <vertAlign val="subscript"/>
        <sz val="11"/>
        <rFont val="Arial"/>
        <family val="2"/>
      </rPr>
      <t xml:space="preserve">legno </t>
    </r>
    <r>
      <rPr>
        <sz val="11"/>
        <rFont val="Arial"/>
        <family val="2"/>
      </rPr>
      <t>(N/m³)</t>
    </r>
  </si>
  <si>
    <r>
      <t>g</t>
    </r>
    <r>
      <rPr>
        <vertAlign val="subscript"/>
        <sz val="11"/>
        <rFont val="Arial"/>
        <family val="2"/>
      </rPr>
      <t xml:space="preserve">w </t>
    </r>
    <r>
      <rPr>
        <sz val="11"/>
        <rFont val="Arial"/>
        <family val="2"/>
      </rPr>
      <t>(N/m³)</t>
    </r>
  </si>
  <si>
    <t>1-μ</t>
  </si>
  <si>
    <t>φ</t>
  </si>
  <si>
    <t>30°</t>
  </si>
  <si>
    <t>D = diametro medio dei tronchi costituenti la briglia;</t>
  </si>
  <si>
    <r>
      <t>g</t>
    </r>
    <r>
      <rPr>
        <vertAlign val="subscript"/>
        <sz val="11"/>
        <rFont val="Arial"/>
        <family val="2"/>
      </rPr>
      <t>t</t>
    </r>
    <r>
      <rPr>
        <sz val="11"/>
        <rFont val="Arial"/>
        <family val="2"/>
      </rPr>
      <t xml:space="preserve">  = peso specifico del terreno a monte della briglia;</t>
    </r>
  </si>
  <si>
    <r>
      <t>g</t>
    </r>
    <r>
      <rPr>
        <vertAlign val="subscript"/>
        <sz val="11"/>
        <rFont val="Arial"/>
        <family val="2"/>
      </rPr>
      <t>pr</t>
    </r>
    <r>
      <rPr>
        <sz val="11"/>
        <rFont val="Arial"/>
        <family val="2"/>
      </rPr>
      <t xml:space="preserve"> = peso specifico del materiale di riempimento;</t>
    </r>
  </si>
  <si>
    <r>
      <t>g</t>
    </r>
    <r>
      <rPr>
        <vertAlign val="subscript"/>
        <sz val="11"/>
        <rFont val="Arial"/>
        <family val="2"/>
      </rPr>
      <t xml:space="preserve">legno </t>
    </r>
    <r>
      <rPr>
        <sz val="11"/>
        <rFont val="Arial"/>
        <family val="2"/>
      </rPr>
      <t>= peso specifico del legno;</t>
    </r>
  </si>
  <si>
    <r>
      <t>g</t>
    </r>
    <r>
      <rPr>
        <vertAlign val="subscript"/>
        <sz val="11"/>
        <rFont val="Arial"/>
        <family val="2"/>
      </rPr>
      <t xml:space="preserve">w </t>
    </r>
    <r>
      <rPr>
        <sz val="11"/>
        <rFont val="Arial"/>
        <family val="2"/>
      </rPr>
      <t>= peso specifico dell’acqua;</t>
    </r>
  </si>
  <si>
    <t>μ = porosità del materiale di riempimento;</t>
  </si>
  <si>
    <t>φ = angolo d’attrito del terreno a monte dell’opera.</t>
  </si>
  <si>
    <t>Le grandezze relative alla geometria dell’opera si sono fatte variare all’interno del campo di valori:</t>
  </si>
  <si>
    <t>altezza dell’opera: H ≤ 9 m;</t>
  </si>
  <si>
    <t>angolo di inclinazione del piano di fondazione della briglia: α &lt; 20°.</t>
  </si>
  <si>
    <t xml:space="preserve">caso A </t>
  </si>
  <si>
    <t xml:space="preserve">H = altezza complessiva dell’opera; </t>
  </si>
  <si>
    <t xml:space="preserve">h = carico d’acqua massimo sulla gaveta (o altezza della stessa); </t>
  </si>
  <si>
    <t>α = angolo di inclinazione del piano di fondazione della briglia in legname e pietrame.</t>
  </si>
  <si>
    <t xml:space="preserve">caso B </t>
  </si>
  <si>
    <t xml:space="preserve">con: </t>
  </si>
  <si>
    <t>carico d’acqua sulla gaveta: h ≤ 2,5 m;</t>
  </si>
  <si>
    <t>IPOTESI ALLA BASE DELLE FORMULE SPEDITIVE DI DIMENSIONAMENTO DELLE BRIGLIE IN LEGNAME E PIETRAME</t>
  </si>
  <si>
    <t>FORMULE SPEDITIVE DI DIMENSIONAMENTO DELLE BRIGLIE IN LEGNAME E PIETRAME</t>
  </si>
  <si>
    <t xml:space="preserve">terreno asciutto </t>
  </si>
  <si>
    <t xml:space="preserve">terreno saturo </t>
  </si>
  <si>
    <t xml:space="preserve">FORMULE SPEDITIVE DI DIMENSIONAMENTO DELLE BRIGLIE IN LEGNAME E PIETRAME </t>
  </si>
  <si>
    <t xml:space="preserve">tang </t>
  </si>
  <si>
    <t>RIFERIMENTO AL TESTO</t>
  </si>
  <si>
    <t>capitolo 10.11.2</t>
  </si>
  <si>
    <t>capitolo 10.11.4</t>
  </si>
  <si>
    <t>capitolo 10.11.5.1</t>
  </si>
  <si>
    <t>capitolo 10.11.5.2</t>
  </si>
  <si>
    <t>capitolo 10.11.5.3</t>
  </si>
  <si>
    <t>capitolo 10.11.7.2</t>
  </si>
  <si>
    <t>capitolo 10.11.7.1</t>
  </si>
  <si>
    <t>capitolo 10.11.7.6</t>
  </si>
  <si>
    <t>capitolo 10.11.8.2</t>
  </si>
  <si>
    <t>capitolo 10.11.8.6</t>
  </si>
  <si>
    <t xml:space="preserve"> capitolo 10.11.8.3</t>
  </si>
  <si>
    <t>capitolo 10.11.8.5</t>
  </si>
  <si>
    <t>capitolo 10.11.9</t>
  </si>
  <si>
    <t>kg</t>
  </si>
  <si>
    <t>base palificata HP</t>
  </si>
  <si>
    <t>(B/6 * e )*3=</t>
  </si>
  <si>
    <r>
      <t xml:space="preserve">FLESSIONE CORRENTE O MONTANTE: APPROCCIO BASATO SULLE PRESSIONI </t>
    </r>
    <r>
      <rPr>
        <sz val="10"/>
        <rFont val="Verdana"/>
        <family val="2"/>
      </rPr>
      <t>(da D'agostino e Mantovani, 2000)</t>
    </r>
  </si>
  <si>
    <r>
      <t xml:space="preserve">RESISTENZA A TAGLIO DEL CORRENTE: APPROCCIO BASATO SULLE PRESSIONI </t>
    </r>
    <r>
      <rPr>
        <sz val="10"/>
        <rFont val="Verdana"/>
        <family val="2"/>
      </rPr>
      <t>(da D'agostino e Mantovani, 2000)</t>
    </r>
  </si>
  <si>
    <r>
      <t>g</t>
    </r>
    <r>
      <rPr>
        <vertAlign val="subscript"/>
        <sz val="11"/>
        <color indexed="8"/>
        <rFont val="Calibri"/>
        <family val="2"/>
      </rPr>
      <t>t</t>
    </r>
  </si>
  <si>
    <r>
      <t>Kg/m</t>
    </r>
    <r>
      <rPr>
        <vertAlign val="superscript"/>
        <sz val="11"/>
        <color indexed="8"/>
        <rFont val="Calibri"/>
        <family val="2"/>
      </rPr>
      <t>3</t>
    </r>
  </si>
  <si>
    <r>
      <t>g</t>
    </r>
    <r>
      <rPr>
        <vertAlign val="subscript"/>
        <sz val="11"/>
        <color indexed="8"/>
        <rFont val="Calibri"/>
        <family val="2"/>
      </rPr>
      <t>l</t>
    </r>
    <r>
      <rPr>
        <sz val="11"/>
        <color indexed="8"/>
        <rFont val="AcadEref"/>
      </rPr>
      <t>L</t>
    </r>
  </si>
  <si>
    <r>
      <t>g</t>
    </r>
    <r>
      <rPr>
        <vertAlign val="subscript"/>
        <sz val="11"/>
        <color indexed="8"/>
        <rFont val="Calibri"/>
        <family val="2"/>
      </rPr>
      <t>w</t>
    </r>
  </si>
  <si>
    <t>j</t>
  </si>
  <si>
    <r>
      <t>i</t>
    </r>
    <r>
      <rPr>
        <vertAlign val="subscript"/>
        <sz val="11"/>
        <color indexed="8"/>
        <rFont val="Calibri"/>
        <family val="2"/>
      </rPr>
      <t>T</t>
    </r>
  </si>
  <si>
    <r>
      <t>L</t>
    </r>
    <r>
      <rPr>
        <vertAlign val="subscript"/>
        <sz val="11"/>
        <color indexed="8"/>
        <rFont val="Calibri"/>
        <family val="2"/>
      </rPr>
      <t>C</t>
    </r>
  </si>
  <si>
    <r>
      <t>L</t>
    </r>
    <r>
      <rPr>
        <vertAlign val="subscript"/>
        <sz val="11"/>
        <color indexed="8"/>
        <rFont val="Calibri"/>
        <family val="2"/>
      </rPr>
      <t>T</t>
    </r>
  </si>
  <si>
    <r>
      <t>m</t>
    </r>
    <r>
      <rPr>
        <vertAlign val="superscript"/>
        <sz val="11"/>
        <color indexed="8"/>
        <rFont val="Calibri"/>
        <family val="2"/>
      </rPr>
      <t>3</t>
    </r>
  </si>
  <si>
    <t>Vp</t>
  </si>
  <si>
    <r>
      <t>V</t>
    </r>
    <r>
      <rPr>
        <vertAlign val="subscript"/>
        <sz val="11"/>
        <color indexed="8"/>
        <rFont val="Calibri"/>
        <family val="2"/>
      </rPr>
      <t>legno</t>
    </r>
  </si>
  <si>
    <r>
      <t>P</t>
    </r>
    <r>
      <rPr>
        <vertAlign val="subscript"/>
        <sz val="11"/>
        <color indexed="8"/>
        <rFont val="Calibri"/>
        <family val="2"/>
      </rPr>
      <t>legno</t>
    </r>
  </si>
  <si>
    <r>
      <t>V</t>
    </r>
    <r>
      <rPr>
        <vertAlign val="subscript"/>
        <sz val="11"/>
        <color indexed="8"/>
        <rFont val="Calibri"/>
        <family val="2"/>
      </rPr>
      <t>terreno</t>
    </r>
  </si>
  <si>
    <r>
      <t>P</t>
    </r>
    <r>
      <rPr>
        <vertAlign val="subscript"/>
        <sz val="11"/>
        <color indexed="8"/>
        <rFont val="Calibri"/>
        <family val="2"/>
      </rPr>
      <t>terreno</t>
    </r>
  </si>
  <si>
    <r>
      <t>P</t>
    </r>
    <r>
      <rPr>
        <vertAlign val="subscript"/>
        <sz val="11"/>
        <color indexed="8"/>
        <rFont val="Calibri"/>
        <family val="2"/>
      </rPr>
      <t>complessivo</t>
    </r>
  </si>
  <si>
    <r>
      <t>K</t>
    </r>
    <r>
      <rPr>
        <vertAlign val="subscript"/>
        <sz val="11"/>
        <color indexed="8"/>
        <rFont val="Calibri"/>
        <family val="2"/>
      </rPr>
      <t xml:space="preserve">a </t>
    </r>
  </si>
  <si>
    <r>
      <t>S</t>
    </r>
    <r>
      <rPr>
        <vertAlign val="subscript"/>
        <sz val="11"/>
        <color indexed="8"/>
        <rFont val="Calibri"/>
        <family val="2"/>
      </rPr>
      <t>a</t>
    </r>
  </si>
  <si>
    <r>
      <rPr>
        <sz val="11"/>
        <color indexed="8"/>
        <rFont val="Symbol"/>
        <family val="1"/>
        <charset val="2"/>
      </rPr>
      <t>b</t>
    </r>
    <r>
      <rPr>
        <sz val="11"/>
        <color theme="1"/>
        <rFont val="Calibri"/>
        <family val="2"/>
        <scheme val="minor"/>
      </rPr>
      <t xml:space="preserve"> (radianti) </t>
    </r>
  </si>
  <si>
    <r>
      <t>cos</t>
    </r>
    <r>
      <rPr>
        <sz val="11"/>
        <color indexed="8"/>
        <rFont val="Symbol"/>
        <family val="1"/>
        <charset val="2"/>
      </rPr>
      <t>b</t>
    </r>
  </si>
  <si>
    <r>
      <rPr>
        <sz val="11"/>
        <color indexed="8"/>
        <rFont val="Symbol"/>
        <family val="1"/>
        <charset val="2"/>
      </rPr>
      <t>j</t>
    </r>
    <r>
      <rPr>
        <sz val="11"/>
        <color theme="1"/>
        <rFont val="Calibri"/>
        <family val="2"/>
        <scheme val="minor"/>
      </rPr>
      <t xml:space="preserve"> (radianti) </t>
    </r>
  </si>
  <si>
    <r>
      <t>sen</t>
    </r>
    <r>
      <rPr>
        <sz val="11"/>
        <color indexed="8"/>
        <rFont val="Symbol"/>
        <family val="1"/>
        <charset val="2"/>
      </rPr>
      <t>j</t>
    </r>
  </si>
  <si>
    <t>(j-b)</t>
  </si>
  <si>
    <r>
      <rPr>
        <sz val="11"/>
        <color indexed="8"/>
        <rFont val="Symbol"/>
        <family val="1"/>
        <charset val="2"/>
      </rPr>
      <t>j</t>
    </r>
    <r>
      <rPr>
        <sz val="11"/>
        <color theme="1"/>
        <rFont val="Calibri"/>
        <family val="2"/>
        <scheme val="minor"/>
      </rPr>
      <t xml:space="preserve">- </t>
    </r>
    <r>
      <rPr>
        <sz val="11"/>
        <color indexed="8"/>
        <rFont val="Symbol"/>
        <family val="1"/>
        <charset val="2"/>
      </rPr>
      <t>b</t>
    </r>
    <r>
      <rPr>
        <sz val="11"/>
        <color theme="1"/>
        <rFont val="Calibri"/>
        <family val="2"/>
        <scheme val="minor"/>
      </rPr>
      <t xml:space="preserve"> (radianti) </t>
    </r>
  </si>
  <si>
    <r>
      <t xml:space="preserve">sen </t>
    </r>
    <r>
      <rPr>
        <sz val="11"/>
        <color indexed="8"/>
        <rFont val="Symbol"/>
        <family val="1"/>
        <charset val="2"/>
      </rPr>
      <t>j - b</t>
    </r>
  </si>
  <si>
    <r>
      <t>cos</t>
    </r>
    <r>
      <rPr>
        <sz val="11"/>
        <color indexed="8"/>
        <rFont val="Symbol"/>
        <family val="1"/>
        <charset val="2"/>
      </rPr>
      <t>j</t>
    </r>
  </si>
  <si>
    <r>
      <t>cos²</t>
    </r>
    <r>
      <rPr>
        <sz val="11"/>
        <color indexed="8"/>
        <rFont val="Symbol"/>
        <family val="1"/>
        <charset val="2"/>
      </rPr>
      <t>j</t>
    </r>
  </si>
  <si>
    <t>Kg/m</t>
  </si>
  <si>
    <r>
      <t xml:space="preserve">45°- </t>
    </r>
    <r>
      <rPr>
        <sz val="8"/>
        <color indexed="8"/>
        <rFont val="Symbol"/>
        <family val="1"/>
        <charset val="2"/>
      </rPr>
      <t xml:space="preserve">j </t>
    </r>
    <r>
      <rPr>
        <sz val="8"/>
        <color indexed="8"/>
        <rFont val="Calibri"/>
        <family val="2"/>
      </rPr>
      <t>/ 2</t>
    </r>
  </si>
  <si>
    <r>
      <t xml:space="preserve">tan (45°- </t>
    </r>
    <r>
      <rPr>
        <sz val="8"/>
        <color indexed="8"/>
        <rFont val="Symbol"/>
        <family val="1"/>
        <charset val="2"/>
      </rPr>
      <t>j</t>
    </r>
    <r>
      <rPr>
        <sz val="8"/>
        <color indexed="8"/>
        <rFont val="Calibri"/>
        <family val="2"/>
      </rPr>
      <t xml:space="preserve"> /2)</t>
    </r>
  </si>
  <si>
    <r>
      <t>tan</t>
    </r>
    <r>
      <rPr>
        <vertAlign val="superscript"/>
        <sz val="8"/>
        <color indexed="8"/>
        <rFont val="Calibri"/>
        <family val="2"/>
      </rPr>
      <t>2</t>
    </r>
    <r>
      <rPr>
        <sz val="8"/>
        <color indexed="8"/>
        <rFont val="Calibri"/>
        <family val="2"/>
      </rPr>
      <t xml:space="preserve"> (45°- </t>
    </r>
    <r>
      <rPr>
        <sz val="8"/>
        <color indexed="8"/>
        <rFont val="Symbol"/>
        <family val="1"/>
        <charset val="2"/>
      </rPr>
      <t>j</t>
    </r>
    <r>
      <rPr>
        <sz val="8"/>
        <color indexed="8"/>
        <rFont val="Calibri"/>
        <family val="2"/>
      </rPr>
      <t xml:space="preserve"> /2)</t>
    </r>
  </si>
  <si>
    <r>
      <t>cos</t>
    </r>
    <r>
      <rPr>
        <vertAlign val="superscript"/>
        <sz val="8"/>
        <color indexed="8"/>
        <rFont val="Calibri"/>
        <family val="2"/>
      </rPr>
      <t>2</t>
    </r>
  </si>
  <si>
    <t>j - a</t>
  </si>
  <si>
    <r>
      <rPr>
        <sz val="11"/>
        <color indexed="8"/>
        <rFont val="Calibri"/>
        <family val="2"/>
      </rPr>
      <t>δ</t>
    </r>
    <r>
      <rPr>
        <sz val="11"/>
        <color indexed="8"/>
        <rFont val="Symbol"/>
        <family val="1"/>
        <charset val="2"/>
      </rPr>
      <t xml:space="preserve"> + j </t>
    </r>
  </si>
  <si>
    <r>
      <t xml:space="preserve">j  - </t>
    </r>
    <r>
      <rPr>
        <sz val="11"/>
        <color indexed="8"/>
        <rFont val="Calibri"/>
        <family val="2"/>
      </rPr>
      <t>β</t>
    </r>
    <r>
      <rPr>
        <sz val="11"/>
        <color indexed="8"/>
        <rFont val="Symbol"/>
        <family val="1"/>
        <charset val="2"/>
      </rPr>
      <t xml:space="preserve"> </t>
    </r>
  </si>
  <si>
    <r>
      <t xml:space="preserve">j - </t>
    </r>
    <r>
      <rPr>
        <sz val="11"/>
        <color indexed="8"/>
        <rFont val="Calibri"/>
        <family val="2"/>
      </rPr>
      <t>β</t>
    </r>
  </si>
  <si>
    <t xml:space="preserve">j </t>
  </si>
  <si>
    <r>
      <t>h</t>
    </r>
    <r>
      <rPr>
        <vertAlign val="subscript"/>
        <sz val="10"/>
        <rFont val="Arial"/>
        <family val="2"/>
      </rPr>
      <t>o</t>
    </r>
  </si>
  <si>
    <r>
      <t>h</t>
    </r>
    <r>
      <rPr>
        <vertAlign val="subscript"/>
        <sz val="10"/>
        <rFont val="Arial"/>
        <family val="2"/>
      </rPr>
      <t>c</t>
    </r>
  </si>
  <si>
    <r>
      <t>sintesi : il fronte di scavo risulta essere il doppio del valore h</t>
    </r>
    <r>
      <rPr>
        <b/>
        <vertAlign val="subscript"/>
        <sz val="10"/>
        <rFont val="Arial"/>
        <family val="2"/>
      </rPr>
      <t>o</t>
    </r>
    <r>
      <rPr>
        <b/>
        <sz val="10"/>
        <rFont val="Arial"/>
        <family val="2"/>
      </rPr>
      <t xml:space="preserve"> </t>
    </r>
  </si>
  <si>
    <r>
      <t>g</t>
    </r>
    <r>
      <rPr>
        <vertAlign val="subscript"/>
        <sz val="11"/>
        <rFont val="Calibri"/>
        <family val="2"/>
      </rPr>
      <t>t</t>
    </r>
    <r>
      <rPr>
        <sz val="11"/>
        <rFont val="Symbol"/>
        <family val="1"/>
        <charset val="2"/>
      </rPr>
      <t xml:space="preserve"> </t>
    </r>
  </si>
  <si>
    <t>kg/m²</t>
  </si>
  <si>
    <t xml:space="preserve">Angolo di resistenza al taglio del terreno </t>
  </si>
  <si>
    <t>Angolo di inclinazione del terreno</t>
  </si>
  <si>
    <t xml:space="preserve">Peso specifico acqua </t>
  </si>
  <si>
    <r>
      <t>g</t>
    </r>
    <r>
      <rPr>
        <vertAlign val="subscript"/>
        <sz val="11"/>
        <rFont val="Calibri"/>
        <family val="2"/>
      </rPr>
      <t>w</t>
    </r>
  </si>
  <si>
    <t>Altezza strato con pressione idrica</t>
  </si>
  <si>
    <r>
      <t>h</t>
    </r>
    <r>
      <rPr>
        <vertAlign val="subscript"/>
        <sz val="11"/>
        <rFont val="Arial"/>
        <family val="2"/>
      </rPr>
      <t>w</t>
    </r>
  </si>
  <si>
    <t>cos²β</t>
  </si>
  <si>
    <t>sin β</t>
  </si>
  <si>
    <t>cos β</t>
  </si>
  <si>
    <r>
      <t>kg/m</t>
    </r>
    <r>
      <rPr>
        <vertAlign val="superscript"/>
        <sz val="11"/>
        <color indexed="8"/>
        <rFont val="Calibri"/>
        <family val="2"/>
      </rPr>
      <t>2</t>
    </r>
  </si>
  <si>
    <r>
      <t>K</t>
    </r>
    <r>
      <rPr>
        <vertAlign val="subscript"/>
        <sz val="11"/>
        <color indexed="8"/>
        <rFont val="Calibri"/>
        <family val="2"/>
      </rPr>
      <t>a</t>
    </r>
  </si>
  <si>
    <t>B ≥</t>
  </si>
  <si>
    <r>
      <t>P</t>
    </r>
    <r>
      <rPr>
        <vertAlign val="subscript"/>
        <sz val="11"/>
        <color indexed="8"/>
        <rFont val="Calibri"/>
        <family val="2"/>
      </rPr>
      <t>complessivo</t>
    </r>
  </si>
  <si>
    <r>
      <t>kg/cm</t>
    </r>
    <r>
      <rPr>
        <vertAlign val="superscript"/>
        <sz val="11"/>
        <color indexed="8"/>
        <rFont val="Calibri"/>
        <family val="2"/>
      </rPr>
      <t>2</t>
    </r>
  </si>
  <si>
    <t>ECCINTRICITÀ</t>
  </si>
  <si>
    <r>
      <t>kg/cm</t>
    </r>
    <r>
      <rPr>
        <vertAlign val="superscript"/>
        <sz val="8"/>
        <color indexed="8"/>
        <rFont val="Calibri"/>
        <family val="2"/>
      </rPr>
      <t>2</t>
    </r>
  </si>
  <si>
    <t>TENSIONE DI COMPRESSIONE MASSIMA</t>
  </si>
  <si>
    <r>
      <t xml:space="preserve">q </t>
    </r>
    <r>
      <rPr>
        <vertAlign val="subscript"/>
        <sz val="8"/>
        <color indexed="8"/>
        <rFont val="Calibri"/>
        <family val="2"/>
      </rPr>
      <t xml:space="preserve">lim </t>
    </r>
  </si>
  <si>
    <r>
      <t>kg/m</t>
    </r>
    <r>
      <rPr>
        <vertAlign val="superscript"/>
        <sz val="8"/>
        <color indexed="8"/>
        <rFont val="Calibri"/>
        <family val="2"/>
      </rPr>
      <t>2</t>
    </r>
  </si>
  <si>
    <r>
      <t>K</t>
    </r>
    <r>
      <rPr>
        <b/>
        <vertAlign val="subscript"/>
        <sz val="10"/>
        <rFont val="Arial"/>
        <family val="2"/>
      </rPr>
      <t>a</t>
    </r>
    <r>
      <rPr>
        <b/>
        <sz val="10"/>
        <rFont val="Arial"/>
        <family val="2"/>
      </rPr>
      <t xml:space="preserve">        </t>
    </r>
  </si>
  <si>
    <r>
      <t>FS</t>
    </r>
    <r>
      <rPr>
        <b/>
        <vertAlign val="subscript"/>
        <sz val="10"/>
        <rFont val="Arial"/>
        <family val="2"/>
      </rPr>
      <t xml:space="preserve">rib                               </t>
    </r>
    <r>
      <rPr>
        <b/>
        <sz val="10"/>
        <rFont val="Arial"/>
        <family val="2"/>
      </rPr>
      <t>coefficiente di sicurezza al ribaltamento</t>
    </r>
  </si>
  <si>
    <r>
      <t>FS</t>
    </r>
    <r>
      <rPr>
        <b/>
        <vertAlign val="subscript"/>
        <sz val="10"/>
        <rFont val="Arial"/>
        <family val="2"/>
      </rPr>
      <t xml:space="preserve">sciv                                 </t>
    </r>
    <r>
      <rPr>
        <b/>
        <sz val="10"/>
        <rFont val="Arial"/>
        <family val="2"/>
      </rPr>
      <t>Coefficiente di sicurezza allo scivolamento</t>
    </r>
  </si>
  <si>
    <t>valore tabellare</t>
  </si>
  <si>
    <t>peso di un'autobotte</t>
  </si>
  <si>
    <r>
      <t>N/m</t>
    </r>
    <r>
      <rPr>
        <vertAlign val="superscript"/>
        <sz val="11"/>
        <color indexed="8"/>
        <rFont val="Calibri"/>
        <family val="2"/>
      </rPr>
      <t>3</t>
    </r>
  </si>
  <si>
    <r>
      <t>N/m</t>
    </r>
    <r>
      <rPr>
        <vertAlign val="superscript"/>
        <sz val="11"/>
        <color indexed="8"/>
        <rFont val="Calibri"/>
        <family val="2"/>
      </rPr>
      <t>2</t>
    </r>
  </si>
  <si>
    <r>
      <t>m</t>
    </r>
    <r>
      <rPr>
        <vertAlign val="superscript"/>
        <sz val="11"/>
        <color indexed="8"/>
        <rFont val="Calibri"/>
        <family val="2"/>
      </rPr>
      <t>2</t>
    </r>
  </si>
  <si>
    <r>
      <t>τ</t>
    </r>
    <r>
      <rPr>
        <vertAlign val="subscript"/>
        <sz val="11"/>
        <color indexed="8"/>
        <rFont val="Calibri"/>
        <family val="2"/>
      </rPr>
      <t>zy, max</t>
    </r>
  </si>
  <si>
    <t>IPOTESI</t>
  </si>
  <si>
    <t>castagno (val tabellare)</t>
  </si>
  <si>
    <t>INTERASSE TRA I MONTANTI DI IPOTESI</t>
  </si>
  <si>
    <t>interasse tra i montanti</t>
  </si>
  <si>
    <r>
      <t xml:space="preserve">M </t>
    </r>
    <r>
      <rPr>
        <vertAlign val="subscript"/>
        <sz val="11"/>
        <color indexed="8"/>
        <rFont val="Calibri"/>
        <family val="2"/>
      </rPr>
      <t>ribaltante</t>
    </r>
  </si>
  <si>
    <t>B = profondità (base) dell’opera</t>
  </si>
  <si>
    <t>Si vuole calcolare la distanza massima ammissibile tra i montanti.</t>
  </si>
  <si>
    <t>Pertanto si parte dall'ipotesi che il diametro minimo ammissibile del montante deve essere compreso tra 17,5÷22,5 cm.</t>
  </si>
  <si>
    <t>Inserendo i valori:</t>
  </si>
  <si>
    <t>- peso specifico (valore tabella)</t>
  </si>
  <si>
    <t>- sovraccarico (come per esempio il peso di un autobotte che passa sulla strada forestale in cui la palificata viva di sostegno fa da massicciata)</t>
  </si>
  <si>
    <t>- il diamtero del palo che funge da montante espresso in metri</t>
  </si>
  <si>
    <t>- il sigma ammissibile (valore tabellare) che varia in funzione dell'essenza legnosa</t>
  </si>
  <si>
    <t>e imponendo un coefficiente di sicurezza pari a 1,5</t>
  </si>
  <si>
    <t>POSSO VERIFICARE - AL VARIARE DELLA DISTANZA TRA I MONTANTI (INTERASSE DI IPOTESI) - SE LA CONDIZIONE E' VERIFICATA</t>
  </si>
  <si>
    <t>Come indicazione generale: al variare del signa delle diverse essenze legnose, posso ottenere delle distanze tra i montanti comprese tra 10÷20 volte il diametro del montante stesso.</t>
  </si>
  <si>
    <t>Rac  = resistenza caratteristica a sfilamento, carico d’esercizio gravante sul singolo picchetto (N)</t>
  </si>
  <si>
    <t>D = Ø di perforazione del foro nel terreno più resistente (m)</t>
  </si>
  <si>
    <t>d2 = distanza dal piano di campagna e mezzeria del tratto attivo del picchetto  (m)</t>
  </si>
  <si>
    <t>L = lunghezza del tratto attivo (m) intesa come la quota parte di picchetto infisso oltre il piano di scivolamento</t>
  </si>
  <si>
    <r>
      <t>f</t>
    </r>
    <r>
      <rPr>
        <sz val="11"/>
        <rFont val="Arial"/>
        <family val="2"/>
      </rPr>
      <t xml:space="preserve"> = angolo di attrito del materiale </t>
    </r>
    <r>
      <rPr>
        <i/>
        <sz val="11"/>
        <rFont val="Arial"/>
        <family val="2"/>
      </rPr>
      <t xml:space="preserve">in situ </t>
    </r>
  </si>
  <si>
    <t xml:space="preserve">Momento (N m): </t>
  </si>
  <si>
    <r>
      <rPr>
        <sz val="10"/>
        <rFont val="Symbol"/>
        <family val="1"/>
        <charset val="2"/>
      </rPr>
      <t>g</t>
    </r>
    <r>
      <rPr>
        <b/>
        <vertAlign val="subscript"/>
        <sz val="10"/>
        <rFont val="Arial"/>
        <family val="2"/>
      </rPr>
      <t xml:space="preserve"> t                                                     </t>
    </r>
    <r>
      <rPr>
        <b/>
        <sz val="10"/>
        <rFont val="Arial"/>
        <family val="2"/>
      </rPr>
      <t xml:space="preserve">peso specifico terreno     </t>
    </r>
    <r>
      <rPr>
        <b/>
        <vertAlign val="subscript"/>
        <sz val="10"/>
        <rFont val="Arial"/>
        <family val="2"/>
      </rPr>
      <t xml:space="preserve">            </t>
    </r>
    <r>
      <rPr>
        <b/>
        <sz val="10"/>
        <rFont val="Arial"/>
        <family val="2"/>
      </rPr>
      <t xml:space="preserve"> (kN/m³) </t>
    </r>
    <r>
      <rPr>
        <vertAlign val="subscript"/>
        <sz val="10"/>
        <rFont val="Arial"/>
        <family val="2"/>
      </rPr>
      <t xml:space="preserve"> </t>
    </r>
    <r>
      <rPr>
        <b/>
        <vertAlign val="subscript"/>
        <sz val="10"/>
        <rFont val="Arial"/>
        <family val="2"/>
      </rPr>
      <t xml:space="preserve">           </t>
    </r>
  </si>
  <si>
    <r>
      <rPr>
        <b/>
        <sz val="10"/>
        <rFont val="Symbol"/>
        <family val="1"/>
        <charset val="2"/>
      </rPr>
      <t>g</t>
    </r>
    <r>
      <rPr>
        <b/>
        <vertAlign val="subscript"/>
        <sz val="10"/>
        <rFont val="Arial"/>
        <family val="2"/>
      </rPr>
      <t xml:space="preserve">c                                                    </t>
    </r>
    <r>
      <rPr>
        <b/>
        <sz val="10"/>
        <rFont val="Arial"/>
        <family val="2"/>
      </rPr>
      <t xml:space="preserve">peso specifico briglia     </t>
    </r>
    <r>
      <rPr>
        <b/>
        <vertAlign val="subscript"/>
        <sz val="10"/>
        <rFont val="Arial"/>
        <family val="2"/>
      </rPr>
      <t xml:space="preserve">            </t>
    </r>
    <r>
      <rPr>
        <b/>
        <sz val="10"/>
        <rFont val="Arial"/>
        <family val="2"/>
      </rPr>
      <t xml:space="preserve"> (kN/m³) </t>
    </r>
    <r>
      <rPr>
        <vertAlign val="subscript"/>
        <sz val="10"/>
        <rFont val="Arial"/>
        <family val="2"/>
      </rPr>
      <t xml:space="preserve"> </t>
    </r>
    <r>
      <rPr>
        <b/>
        <vertAlign val="subscript"/>
        <sz val="10"/>
        <rFont val="Arial"/>
        <family val="2"/>
      </rPr>
      <t xml:space="preserve">           </t>
    </r>
  </si>
  <si>
    <r>
      <t>FS</t>
    </r>
    <r>
      <rPr>
        <b/>
        <vertAlign val="subscript"/>
        <sz val="10"/>
        <rFont val="Arial"/>
        <family val="2"/>
      </rPr>
      <t xml:space="preserve">sciv                           </t>
    </r>
    <r>
      <rPr>
        <b/>
        <sz val="10"/>
        <rFont val="Arial"/>
        <family val="2"/>
      </rPr>
      <t>Coefficiente di sicurezza allo scivolamento</t>
    </r>
  </si>
  <si>
    <r>
      <rPr>
        <b/>
        <sz val="10"/>
        <rFont val="Symbol"/>
        <family val="1"/>
        <charset val="2"/>
      </rPr>
      <t>g</t>
    </r>
    <r>
      <rPr>
        <b/>
        <vertAlign val="subscript"/>
        <sz val="10"/>
        <rFont val="Arial"/>
        <family val="2"/>
      </rPr>
      <t xml:space="preserve">c                                                       </t>
    </r>
    <r>
      <rPr>
        <b/>
        <sz val="10"/>
        <rFont val="Arial"/>
        <family val="2"/>
      </rPr>
      <t xml:space="preserve">peso specifico briglia     </t>
    </r>
    <r>
      <rPr>
        <b/>
        <vertAlign val="subscript"/>
        <sz val="10"/>
        <rFont val="Arial"/>
        <family val="2"/>
      </rPr>
      <t xml:space="preserve">            </t>
    </r>
    <r>
      <rPr>
        <b/>
        <sz val="10"/>
        <rFont val="Arial"/>
        <family val="2"/>
      </rPr>
      <t xml:space="preserve"> (kN/m³) </t>
    </r>
    <r>
      <rPr>
        <vertAlign val="subscript"/>
        <sz val="10"/>
        <rFont val="Arial"/>
        <family val="2"/>
      </rPr>
      <t xml:space="preserve"> </t>
    </r>
    <r>
      <rPr>
        <b/>
        <vertAlign val="subscript"/>
        <sz val="10"/>
        <rFont val="Arial"/>
        <family val="2"/>
      </rPr>
      <t xml:space="preserve">           </t>
    </r>
  </si>
  <si>
    <r>
      <rPr>
        <b/>
        <sz val="10"/>
        <rFont val="Symbol"/>
        <family val="1"/>
        <charset val="2"/>
      </rPr>
      <t>g</t>
    </r>
    <r>
      <rPr>
        <b/>
        <vertAlign val="subscript"/>
        <sz val="10"/>
        <rFont val="Arial"/>
        <family val="2"/>
      </rPr>
      <t xml:space="preserve">t                                                     </t>
    </r>
    <r>
      <rPr>
        <b/>
        <sz val="10"/>
        <rFont val="Arial"/>
        <family val="2"/>
      </rPr>
      <t xml:space="preserve">peso specifico terreno     </t>
    </r>
    <r>
      <rPr>
        <b/>
        <vertAlign val="subscript"/>
        <sz val="10"/>
        <rFont val="Arial"/>
        <family val="2"/>
      </rPr>
      <t xml:space="preserve">            </t>
    </r>
    <r>
      <rPr>
        <b/>
        <sz val="10"/>
        <rFont val="Arial"/>
        <family val="2"/>
      </rPr>
      <t xml:space="preserve"> (kN/m³) </t>
    </r>
    <r>
      <rPr>
        <vertAlign val="subscript"/>
        <sz val="10"/>
        <rFont val="Arial"/>
        <family val="2"/>
      </rPr>
      <t xml:space="preserve"> </t>
    </r>
    <r>
      <rPr>
        <b/>
        <vertAlign val="subscript"/>
        <sz val="10"/>
        <rFont val="Arial"/>
        <family val="2"/>
      </rPr>
      <t xml:space="preserve">           </t>
    </r>
  </si>
  <si>
    <t>c = coesione non drenata (N/m²)</t>
  </si>
  <si>
    <t>(terreno saturo e acqua), avendo posto che Ka = 1,</t>
  </si>
  <si>
    <t xml:space="preserve">le formule dalle verifiche al ribaltamento e allo scivolamento risultano essere le seguenti. </t>
  </si>
  <si>
    <r>
      <t xml:space="preserve">Siccome dalla dimostrazione fatta risulta che </t>
    </r>
    <r>
      <rPr>
        <sz val="12"/>
        <rFont val="Symbol"/>
        <family val="1"/>
        <charset val="2"/>
      </rPr>
      <t>g</t>
    </r>
    <r>
      <rPr>
        <sz val="12"/>
        <rFont val="Arial"/>
        <family val="2"/>
      </rPr>
      <t xml:space="preserve"> (terreno) = 1,1 </t>
    </r>
    <r>
      <rPr>
        <sz val="12"/>
        <rFont val="Symbol"/>
        <family val="1"/>
        <charset val="2"/>
      </rPr>
      <t>g</t>
    </r>
    <r>
      <rPr>
        <sz val="12"/>
        <rFont val="Arial"/>
        <family val="2"/>
      </rPr>
      <t xml:space="preserve"> (acqua), in condizioni di spinta mista</t>
    </r>
  </si>
  <si>
    <r>
      <t>Il carico limite risulta essere il valore della cella E62 kg/m</t>
    </r>
    <r>
      <rPr>
        <vertAlign val="superscript"/>
        <sz val="11"/>
        <color indexed="8"/>
        <rFont val="Calibri"/>
        <family val="2"/>
      </rPr>
      <t>2</t>
    </r>
    <r>
      <rPr>
        <sz val="11"/>
        <color theme="1"/>
        <rFont val="Calibri"/>
        <family val="2"/>
        <scheme val="minor"/>
      </rPr>
      <t>, quindi essendo il carico Q di E50 kg/m</t>
    </r>
    <r>
      <rPr>
        <vertAlign val="superscript"/>
        <sz val="11"/>
        <color indexed="8"/>
        <rFont val="Calibri"/>
        <family val="2"/>
      </rPr>
      <t>2</t>
    </r>
    <r>
      <rPr>
        <sz val="11"/>
        <color theme="1"/>
        <rFont val="Calibri"/>
        <family val="2"/>
        <scheme val="minor"/>
      </rPr>
      <t xml:space="preserve"> scelto da noi  la verifica è soddisfatta. </t>
    </r>
  </si>
  <si>
    <r>
      <t>kg/m</t>
    </r>
    <r>
      <rPr>
        <vertAlign val="superscript"/>
        <sz val="11"/>
        <color indexed="8"/>
        <rFont val="Calibri"/>
        <family val="2"/>
      </rPr>
      <t>3</t>
    </r>
  </si>
  <si>
    <r>
      <t>kg/m</t>
    </r>
    <r>
      <rPr>
        <vertAlign val="superscript"/>
        <sz val="10"/>
        <rFont val="Arial"/>
        <family val="2"/>
      </rPr>
      <t>3</t>
    </r>
  </si>
  <si>
    <r>
      <t>kg/m</t>
    </r>
    <r>
      <rPr>
        <vertAlign val="superscript"/>
        <sz val="11"/>
        <color indexed="8"/>
        <rFont val="Calibri"/>
        <family val="2"/>
      </rPr>
      <t>3</t>
    </r>
  </si>
  <si>
    <r>
      <t>kg/m</t>
    </r>
    <r>
      <rPr>
        <vertAlign val="superscript"/>
        <sz val="8"/>
        <color indexed="8"/>
        <rFont val="Calibri"/>
        <family val="2"/>
      </rPr>
      <t>3</t>
    </r>
  </si>
  <si>
    <t>1 kN=1000N=100kg</t>
  </si>
</sst>
</file>

<file path=xl/styles.xml><?xml version="1.0" encoding="utf-8"?>
<styleSheet xmlns="http://schemas.openxmlformats.org/spreadsheetml/2006/main">
  <numFmts count="3">
    <numFmt numFmtId="164" formatCode="0.00000000"/>
    <numFmt numFmtId="165" formatCode="0.000"/>
    <numFmt numFmtId="166" formatCode="0.00000"/>
  </numFmts>
  <fonts count="74">
    <font>
      <sz val="11"/>
      <color theme="1"/>
      <name val="Calibri"/>
      <family val="2"/>
      <scheme val="minor"/>
    </font>
    <font>
      <sz val="11"/>
      <color indexed="8"/>
      <name val="Calibri"/>
      <family val="2"/>
    </font>
    <font>
      <sz val="8"/>
      <name val="Calibri"/>
      <family val="2"/>
    </font>
    <font>
      <b/>
      <sz val="12"/>
      <name val="Arial"/>
      <family val="2"/>
    </font>
    <font>
      <sz val="11"/>
      <name val="Arial"/>
      <family val="2"/>
    </font>
    <font>
      <sz val="16"/>
      <name val="Symbol"/>
      <family val="1"/>
      <charset val="2"/>
    </font>
    <font>
      <sz val="11"/>
      <name val="Symbol"/>
      <family val="1"/>
      <charset val="2"/>
    </font>
    <font>
      <b/>
      <sz val="10"/>
      <color indexed="10"/>
      <name val="Arial"/>
      <family val="2"/>
    </font>
    <font>
      <sz val="10"/>
      <color indexed="12"/>
      <name val="Arial"/>
      <family val="2"/>
    </font>
    <font>
      <sz val="10"/>
      <name val="Arial"/>
      <family val="2"/>
    </font>
    <font>
      <b/>
      <sz val="10"/>
      <name val="Arial"/>
      <family val="2"/>
    </font>
    <font>
      <sz val="12"/>
      <name val="Arial"/>
      <family val="2"/>
    </font>
    <font>
      <b/>
      <vertAlign val="superscript"/>
      <sz val="12"/>
      <name val="Arial"/>
      <family val="2"/>
    </font>
    <font>
      <b/>
      <sz val="10"/>
      <color indexed="12"/>
      <name val="Arial"/>
      <family val="2"/>
    </font>
    <font>
      <b/>
      <vertAlign val="subscript"/>
      <sz val="10"/>
      <name val="Arial"/>
      <family val="2"/>
    </font>
    <font>
      <vertAlign val="subscript"/>
      <sz val="10"/>
      <name val="Arial"/>
      <family val="2"/>
    </font>
    <font>
      <b/>
      <sz val="10"/>
      <color indexed="8"/>
      <name val="Arial"/>
      <family val="2"/>
    </font>
    <font>
      <vertAlign val="subscript"/>
      <sz val="12"/>
      <name val="Arial"/>
      <family val="2"/>
    </font>
    <font>
      <b/>
      <sz val="12"/>
      <color indexed="8"/>
      <name val="Arial"/>
      <family val="2"/>
    </font>
    <font>
      <b/>
      <sz val="11"/>
      <color indexed="8"/>
      <name val="Arial"/>
      <family val="2"/>
    </font>
    <font>
      <vertAlign val="subscript"/>
      <sz val="11"/>
      <color indexed="8"/>
      <name val="Calibri"/>
      <family val="2"/>
    </font>
    <font>
      <b/>
      <vertAlign val="subscript"/>
      <sz val="11"/>
      <color indexed="8"/>
      <name val="Arial"/>
      <family val="2"/>
    </font>
    <font>
      <b/>
      <vertAlign val="subscript"/>
      <sz val="11"/>
      <color indexed="8"/>
      <name val="Times New Roman"/>
      <family val="1"/>
    </font>
    <font>
      <sz val="11"/>
      <color indexed="8"/>
      <name val="Arial"/>
      <family val="2"/>
    </font>
    <font>
      <sz val="10"/>
      <color indexed="10"/>
      <name val="Arial"/>
      <family val="2"/>
    </font>
    <font>
      <u/>
      <sz val="10"/>
      <color indexed="12"/>
      <name val="Arial"/>
      <family val="2"/>
    </font>
    <font>
      <vertAlign val="superscript"/>
      <sz val="10"/>
      <name val="Arial"/>
      <family val="2"/>
    </font>
    <font>
      <b/>
      <sz val="10"/>
      <color indexed="14"/>
      <name val="Arial"/>
      <family val="2"/>
    </font>
    <font>
      <b/>
      <sz val="16"/>
      <color indexed="10"/>
      <name val="Arial"/>
      <family val="2"/>
    </font>
    <font>
      <b/>
      <sz val="14"/>
      <name val="Arial"/>
      <family val="2"/>
    </font>
    <font>
      <b/>
      <sz val="18"/>
      <name val="Arial"/>
      <family val="2"/>
    </font>
    <font>
      <b/>
      <sz val="18"/>
      <color indexed="10"/>
      <name val="Arial"/>
      <family val="2"/>
    </font>
    <font>
      <sz val="14"/>
      <name val="Arial"/>
      <family val="2"/>
    </font>
    <font>
      <b/>
      <sz val="8"/>
      <color indexed="81"/>
      <name val="Tahoma"/>
      <family val="2"/>
    </font>
    <font>
      <sz val="8"/>
      <color indexed="81"/>
      <name val="Tahoma"/>
      <family val="2"/>
    </font>
    <font>
      <sz val="11"/>
      <color indexed="10"/>
      <name val="Calibri"/>
      <family val="2"/>
    </font>
    <font>
      <sz val="11"/>
      <color indexed="8"/>
      <name val="Symbol"/>
      <family val="1"/>
      <charset val="2"/>
    </font>
    <font>
      <sz val="11"/>
      <color indexed="8"/>
      <name val="AcadEref"/>
    </font>
    <font>
      <sz val="8"/>
      <color indexed="8"/>
      <name val="Calibri"/>
      <family val="2"/>
    </font>
    <font>
      <sz val="11"/>
      <color indexed="9"/>
      <name val="Calibri"/>
      <family val="2"/>
    </font>
    <font>
      <sz val="11"/>
      <name val="Calibri"/>
      <family val="2"/>
    </font>
    <font>
      <b/>
      <sz val="11"/>
      <color indexed="8"/>
      <name val="Calibri"/>
      <family val="2"/>
    </font>
    <font>
      <u/>
      <sz val="11"/>
      <color indexed="12"/>
      <name val="Calibri"/>
      <family val="2"/>
    </font>
    <font>
      <sz val="11"/>
      <color indexed="8"/>
      <name val="Calibri"/>
      <family val="2"/>
    </font>
    <font>
      <b/>
      <sz val="11"/>
      <color indexed="12"/>
      <name val="Verdana"/>
      <family val="2"/>
    </font>
    <font>
      <b/>
      <sz val="11"/>
      <color indexed="8"/>
      <name val="Arial"/>
      <family val="2"/>
    </font>
    <font>
      <sz val="11"/>
      <color indexed="8"/>
      <name val="Calibri"/>
      <family val="2"/>
    </font>
    <font>
      <vertAlign val="subscript"/>
      <sz val="8"/>
      <color indexed="8"/>
      <name val="Calibri"/>
      <family val="2"/>
    </font>
    <font>
      <i/>
      <sz val="10"/>
      <color indexed="8"/>
      <name val="Calibri"/>
      <family val="2"/>
    </font>
    <font>
      <i/>
      <sz val="11"/>
      <color indexed="8"/>
      <name val="Calibri"/>
      <family val="2"/>
    </font>
    <font>
      <b/>
      <sz val="11"/>
      <color indexed="8"/>
      <name val="Calibri"/>
      <family val="2"/>
    </font>
    <font>
      <sz val="10"/>
      <name val="Arial"/>
      <family val="2"/>
    </font>
    <font>
      <sz val="10"/>
      <color indexed="9"/>
      <name val="Arial"/>
      <family val="2"/>
    </font>
    <font>
      <sz val="11"/>
      <color indexed="9"/>
      <name val="Arial"/>
      <family val="2"/>
    </font>
    <font>
      <b/>
      <sz val="11"/>
      <name val="Arial"/>
      <family val="2"/>
    </font>
    <font>
      <sz val="7"/>
      <name val="Times New Roman"/>
      <family val="1"/>
    </font>
    <font>
      <vertAlign val="subscript"/>
      <sz val="11"/>
      <name val="Arial"/>
      <family val="2"/>
    </font>
    <font>
      <b/>
      <sz val="8"/>
      <name val="Arial"/>
      <family val="2"/>
    </font>
    <font>
      <sz val="10"/>
      <name val="Antique Olive Compact"/>
      <family val="2"/>
    </font>
    <font>
      <sz val="8"/>
      <name val="Arial"/>
      <family val="2"/>
    </font>
    <font>
      <b/>
      <sz val="24"/>
      <color indexed="8"/>
      <name val="Calibri"/>
      <family val="2"/>
    </font>
    <font>
      <sz val="11"/>
      <color indexed="8"/>
      <name val="Calibri"/>
      <family val="2"/>
    </font>
    <font>
      <sz val="10"/>
      <name val="Verdana"/>
      <family val="2"/>
    </font>
    <font>
      <vertAlign val="superscript"/>
      <sz val="11"/>
      <color indexed="8"/>
      <name val="Calibri"/>
      <family val="2"/>
    </font>
    <font>
      <sz val="11"/>
      <color indexed="8"/>
      <name val="Symbol"/>
      <family val="1"/>
      <charset val="2"/>
    </font>
    <font>
      <sz val="11"/>
      <name val="Calibri"/>
      <family val="2"/>
    </font>
    <font>
      <sz val="8"/>
      <color indexed="8"/>
      <name val="Symbol"/>
      <family val="1"/>
      <charset val="2"/>
    </font>
    <font>
      <vertAlign val="superscript"/>
      <sz val="8"/>
      <color indexed="8"/>
      <name val="Calibri"/>
      <family val="2"/>
    </font>
    <font>
      <vertAlign val="subscript"/>
      <sz val="11"/>
      <name val="Calibri"/>
      <family val="2"/>
    </font>
    <font>
      <i/>
      <sz val="11"/>
      <name val="Arial"/>
      <family val="2"/>
    </font>
    <font>
      <sz val="8"/>
      <color indexed="8"/>
      <name val="Calibri"/>
      <family val="2"/>
    </font>
    <font>
      <sz val="10"/>
      <name val="Symbol"/>
      <family val="1"/>
      <charset val="2"/>
    </font>
    <font>
      <b/>
      <sz val="10"/>
      <name val="Symbol"/>
      <family val="1"/>
      <charset val="2"/>
    </font>
    <font>
      <sz val="12"/>
      <name val="Symbol"/>
      <family val="1"/>
      <charset val="2"/>
    </font>
  </fonts>
  <fills count="15">
    <fill>
      <patternFill patternType="none"/>
    </fill>
    <fill>
      <patternFill patternType="gray125"/>
    </fill>
    <fill>
      <patternFill patternType="solid">
        <fgColor indexed="13"/>
        <bgColor indexed="64"/>
      </patternFill>
    </fill>
    <fill>
      <patternFill patternType="solid">
        <fgColor indexed="50"/>
        <bgColor indexed="64"/>
      </patternFill>
    </fill>
    <fill>
      <patternFill patternType="solid">
        <fgColor indexed="42"/>
        <bgColor indexed="64"/>
      </patternFill>
    </fill>
    <fill>
      <patternFill patternType="solid">
        <fgColor indexed="41"/>
        <bgColor indexed="64"/>
      </patternFill>
    </fill>
    <fill>
      <patternFill patternType="solid">
        <fgColor indexed="43"/>
        <bgColor indexed="64"/>
      </patternFill>
    </fill>
    <fill>
      <patternFill patternType="solid">
        <fgColor indexed="9"/>
        <bgColor indexed="64"/>
      </patternFill>
    </fill>
    <fill>
      <patternFill patternType="solid">
        <fgColor indexed="51"/>
        <bgColor indexed="64"/>
      </patternFill>
    </fill>
    <fill>
      <patternFill patternType="solid">
        <fgColor indexed="26"/>
        <bgColor indexed="64"/>
      </patternFill>
    </fill>
    <fill>
      <patternFill patternType="solid">
        <fgColor indexed="44"/>
        <bgColor indexed="64"/>
      </patternFill>
    </fill>
    <fill>
      <patternFill patternType="solid">
        <fgColor indexed="22"/>
        <bgColor indexed="64"/>
      </patternFill>
    </fill>
    <fill>
      <patternFill patternType="solid">
        <fgColor indexed="27"/>
        <bgColor indexed="64"/>
      </patternFill>
    </fill>
    <fill>
      <patternFill patternType="solid">
        <fgColor indexed="47"/>
        <bgColor indexed="64"/>
      </patternFill>
    </fill>
    <fill>
      <patternFill patternType="solid">
        <fgColor indexed="11"/>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5">
    <xf numFmtId="0" fontId="0" fillId="0" borderId="0"/>
    <xf numFmtId="0" fontId="25" fillId="0" borderId="0" applyNumberFormat="0" applyFill="0" applyBorder="0" applyAlignment="0" applyProtection="0">
      <alignment vertical="top"/>
      <protection locked="0"/>
    </xf>
    <xf numFmtId="0" fontId="51" fillId="0" borderId="0"/>
    <xf numFmtId="0" fontId="9" fillId="0" borderId="0"/>
    <xf numFmtId="0" fontId="1" fillId="0" borderId="0"/>
  </cellStyleXfs>
  <cellXfs count="565">
    <xf numFmtId="0" fontId="0" fillId="0" borderId="0" xfId="0"/>
    <xf numFmtId="0" fontId="0" fillId="2" borderId="0" xfId="0" applyFill="1"/>
    <xf numFmtId="0" fontId="0" fillId="3" borderId="0" xfId="0" applyFill="1"/>
    <xf numFmtId="0" fontId="4" fillId="0" borderId="0" xfId="0" applyFont="1" applyAlignment="1">
      <alignment horizontal="justify"/>
    </xf>
    <xf numFmtId="0" fontId="0" fillId="2" borderId="1" xfId="0" applyFill="1" applyBorder="1"/>
    <xf numFmtId="0" fontId="0" fillId="0" borderId="1" xfId="0" applyBorder="1"/>
    <xf numFmtId="0" fontId="0" fillId="0" borderId="0" xfId="0" applyFill="1" applyBorder="1"/>
    <xf numFmtId="0" fontId="6" fillId="0" borderId="0" xfId="0" applyFont="1" applyAlignment="1">
      <alignment horizontal="justify"/>
    </xf>
    <xf numFmtId="0" fontId="8" fillId="0" borderId="1" xfId="0" applyFont="1" applyBorder="1"/>
    <xf numFmtId="0" fontId="0" fillId="4" borderId="2" xfId="0" applyFill="1" applyBorder="1"/>
    <xf numFmtId="0" fontId="0" fillId="4" borderId="3" xfId="0" applyFill="1" applyBorder="1"/>
    <xf numFmtId="0" fontId="0" fillId="5" borderId="4" xfId="0" applyFill="1" applyBorder="1"/>
    <xf numFmtId="0" fontId="0" fillId="5" borderId="0" xfId="0" applyFill="1" applyBorder="1"/>
    <xf numFmtId="0" fontId="0" fillId="4" borderId="4" xfId="0" applyFill="1" applyBorder="1"/>
    <xf numFmtId="0" fontId="0" fillId="4" borderId="0" xfId="0" applyFill="1" applyBorder="1"/>
    <xf numFmtId="0" fontId="0" fillId="5" borderId="5" xfId="0" applyFill="1" applyBorder="1"/>
    <xf numFmtId="0" fontId="0" fillId="4" borderId="6" xfId="0" applyFill="1" applyBorder="1"/>
    <xf numFmtId="0" fontId="0" fillId="4" borderId="5" xfId="0" applyFill="1" applyBorder="1"/>
    <xf numFmtId="0" fontId="9" fillId="5" borderId="0" xfId="0" applyFont="1" applyFill="1" applyBorder="1"/>
    <xf numFmtId="0" fontId="0" fillId="5" borderId="7" xfId="0" applyFill="1" applyBorder="1"/>
    <xf numFmtId="0" fontId="0" fillId="5" borderId="8" xfId="0" applyFill="1" applyBorder="1"/>
    <xf numFmtId="0" fontId="0" fillId="5" borderId="9" xfId="0" applyFill="1" applyBorder="1"/>
    <xf numFmtId="0" fontId="9" fillId="4" borderId="3" xfId="0" applyFont="1" applyFill="1" applyBorder="1" applyAlignment="1">
      <alignment horizontal="center" vertical="center"/>
    </xf>
    <xf numFmtId="0" fontId="10" fillId="4" borderId="3" xfId="0" applyFont="1" applyFill="1" applyBorder="1" applyAlignment="1">
      <alignment horizontal="center" vertical="center"/>
    </xf>
    <xf numFmtId="0" fontId="9" fillId="4" borderId="3" xfId="0" applyFont="1" applyFill="1" applyBorder="1"/>
    <xf numFmtId="0" fontId="11" fillId="4" borderId="3" xfId="0" applyFont="1" applyFill="1" applyBorder="1"/>
    <xf numFmtId="0" fontId="9" fillId="4" borderId="0" xfId="0" applyFont="1" applyFill="1" applyBorder="1" applyAlignment="1">
      <alignment horizontal="left" vertical="center"/>
    </xf>
    <xf numFmtId="0" fontId="9" fillId="4" borderId="0" xfId="0" applyFont="1" applyFill="1" applyBorder="1" applyAlignment="1">
      <alignment horizontal="center" vertical="center"/>
    </xf>
    <xf numFmtId="0" fontId="9" fillId="4" borderId="0" xfId="0" applyFont="1" applyFill="1" applyBorder="1"/>
    <xf numFmtId="0" fontId="11" fillId="4" borderId="0" xfId="0" applyFont="1" applyFill="1" applyBorder="1"/>
    <xf numFmtId="0" fontId="10" fillId="4" borderId="0" xfId="0" applyFont="1" applyFill="1" applyBorder="1" applyAlignment="1">
      <alignment horizontal="center" vertical="center"/>
    </xf>
    <xf numFmtId="0" fontId="10" fillId="6" borderId="10" xfId="0" applyFont="1" applyFill="1" applyBorder="1" applyAlignment="1">
      <alignment horizontal="center" vertical="top" wrapText="1"/>
    </xf>
    <xf numFmtId="0" fontId="7" fillId="0" borderId="10" xfId="0" applyFont="1" applyBorder="1" applyAlignment="1">
      <alignment horizontal="center" vertical="center"/>
    </xf>
    <xf numFmtId="0" fontId="9" fillId="0" borderId="0" xfId="0" applyFont="1" applyBorder="1" applyAlignment="1">
      <alignment horizontal="center" vertical="center"/>
    </xf>
    <xf numFmtId="0" fontId="9" fillId="0" borderId="1" xfId="0" applyFont="1" applyBorder="1" applyAlignment="1">
      <alignment horizontal="center" vertical="center"/>
    </xf>
    <xf numFmtId="0" fontId="13" fillId="0" borderId="10" xfId="0" applyFont="1" applyFill="1" applyBorder="1" applyAlignment="1">
      <alignment horizontal="center"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13" fillId="0" borderId="10" xfId="0" applyFont="1" applyBorder="1" applyAlignment="1">
      <alignment horizontal="center" vertical="center"/>
    </xf>
    <xf numFmtId="0" fontId="10" fillId="4" borderId="0" xfId="0" applyFont="1" applyFill="1" applyBorder="1" applyAlignment="1">
      <alignment horizontal="center" vertical="top" wrapText="1"/>
    </xf>
    <xf numFmtId="0" fontId="7" fillId="4" borderId="0" xfId="0" applyFont="1" applyFill="1" applyBorder="1" applyAlignment="1">
      <alignment horizontal="center" vertical="center"/>
    </xf>
    <xf numFmtId="0" fontId="10" fillId="7" borderId="10" xfId="0" applyFont="1" applyFill="1" applyBorder="1" applyAlignment="1">
      <alignment horizontal="center"/>
    </xf>
    <xf numFmtId="0" fontId="10" fillId="4" borderId="0" xfId="0" applyFont="1" applyFill="1" applyBorder="1" applyAlignment="1">
      <alignment horizontal="center"/>
    </xf>
    <xf numFmtId="0" fontId="10" fillId="7" borderId="12" xfId="0" applyFont="1" applyFill="1" applyBorder="1" applyAlignment="1">
      <alignment horizontal="center"/>
    </xf>
    <xf numFmtId="0" fontId="0" fillId="6" borderId="2" xfId="0" applyFill="1" applyBorder="1"/>
    <xf numFmtId="0" fontId="0" fillId="6" borderId="3" xfId="0" applyFill="1" applyBorder="1"/>
    <xf numFmtId="0" fontId="9" fillId="6" borderId="3" xfId="0" applyFont="1" applyFill="1" applyBorder="1" applyAlignment="1">
      <alignment horizontal="center" vertical="center"/>
    </xf>
    <xf numFmtId="0" fontId="10" fillId="6" borderId="3" xfId="0" applyFont="1" applyFill="1" applyBorder="1" applyAlignment="1">
      <alignment horizontal="center" vertical="center"/>
    </xf>
    <xf numFmtId="0" fontId="9" fillId="6" borderId="3" xfId="0" applyFont="1" applyFill="1" applyBorder="1"/>
    <xf numFmtId="0" fontId="11" fillId="6" borderId="3" xfId="0" applyFont="1" applyFill="1" applyBorder="1"/>
    <xf numFmtId="0" fontId="0" fillId="6" borderId="6" xfId="0" applyFill="1" applyBorder="1"/>
    <xf numFmtId="0" fontId="0" fillId="0" borderId="0" xfId="0" applyFill="1"/>
    <xf numFmtId="0" fontId="0" fillId="6" borderId="4" xfId="0" applyFill="1" applyBorder="1"/>
    <xf numFmtId="0" fontId="11" fillId="6" borderId="0" xfId="0" applyFont="1" applyFill="1" applyBorder="1"/>
    <xf numFmtId="0" fontId="4" fillId="6" borderId="0" xfId="0" applyFont="1" applyFill="1" applyBorder="1" applyAlignment="1">
      <alignment horizontal="center" vertical="center"/>
    </xf>
    <xf numFmtId="0" fontId="10" fillId="6" borderId="0"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0" xfId="0" applyFont="1" applyFill="1" applyBorder="1"/>
    <xf numFmtId="0" fontId="0" fillId="6" borderId="0" xfId="0" applyFill="1" applyBorder="1"/>
    <xf numFmtId="0" fontId="0" fillId="6" borderId="5" xfId="0" applyFill="1" applyBorder="1"/>
    <xf numFmtId="0" fontId="7" fillId="0" borderId="10" xfId="0" applyFont="1" applyFill="1" applyBorder="1" applyAlignment="1">
      <alignment horizontal="center" vertical="center"/>
    </xf>
    <xf numFmtId="0" fontId="7" fillId="0" borderId="12" xfId="0" applyFont="1" applyFill="1" applyBorder="1" applyAlignment="1">
      <alignment horizontal="center" vertical="center"/>
    </xf>
    <xf numFmtId="0" fontId="0" fillId="6" borderId="7" xfId="0" applyFill="1" applyBorder="1"/>
    <xf numFmtId="0" fontId="0" fillId="6" borderId="8" xfId="0" applyFill="1" applyBorder="1"/>
    <xf numFmtId="0" fontId="9" fillId="6" borderId="8" xfId="0" applyFont="1" applyFill="1" applyBorder="1" applyAlignment="1">
      <alignment horizontal="center" vertical="center"/>
    </xf>
    <xf numFmtId="0" fontId="10" fillId="6" borderId="8" xfId="0" applyFont="1" applyFill="1" applyBorder="1" applyAlignment="1">
      <alignment horizontal="center" vertical="center"/>
    </xf>
    <xf numFmtId="0" fontId="9" fillId="6" borderId="8" xfId="0" applyFont="1" applyFill="1" applyBorder="1"/>
    <xf numFmtId="0" fontId="11" fillId="6" borderId="8" xfId="0" applyFont="1" applyFill="1" applyBorder="1"/>
    <xf numFmtId="0" fontId="0" fillId="6" borderId="9" xfId="0" applyFill="1" applyBorder="1"/>
    <xf numFmtId="0" fontId="9" fillId="5" borderId="0" xfId="0" applyFont="1" applyFill="1" applyBorder="1" applyAlignment="1">
      <alignment horizontal="center" vertical="center"/>
    </xf>
    <xf numFmtId="0" fontId="10" fillId="5" borderId="0" xfId="0" applyFont="1" applyFill="1" applyBorder="1" applyAlignment="1">
      <alignment horizontal="center" vertical="center"/>
    </xf>
    <xf numFmtId="0" fontId="11" fillId="5" borderId="0" xfId="0" applyFont="1" applyFill="1" applyBorder="1"/>
    <xf numFmtId="0" fontId="11" fillId="0" borderId="0" xfId="0" applyFont="1"/>
    <xf numFmtId="0" fontId="9" fillId="0" borderId="0" xfId="0" applyFont="1" applyAlignment="1">
      <alignment horizontal="center" vertical="center"/>
    </xf>
    <xf numFmtId="0" fontId="10" fillId="0" borderId="0" xfId="0" applyFont="1" applyAlignment="1">
      <alignment horizontal="center" vertical="center"/>
    </xf>
    <xf numFmtId="0" fontId="9" fillId="0" borderId="0" xfId="0" applyFont="1"/>
    <xf numFmtId="0" fontId="0" fillId="8" borderId="13" xfId="0" applyFill="1" applyBorder="1"/>
    <xf numFmtId="0" fontId="0" fillId="8" borderId="14" xfId="0" applyFill="1" applyBorder="1"/>
    <xf numFmtId="0" fontId="9" fillId="8" borderId="14" xfId="0" applyFont="1" applyFill="1" applyBorder="1" applyAlignment="1">
      <alignment horizontal="center" vertical="center"/>
    </xf>
    <xf numFmtId="0" fontId="9" fillId="8" borderId="15" xfId="0" applyFont="1" applyFill="1" applyBorder="1" applyAlignment="1">
      <alignment horizontal="center" vertical="center"/>
    </xf>
    <xf numFmtId="0" fontId="10" fillId="5" borderId="14" xfId="0" applyFont="1" applyFill="1" applyBorder="1" applyAlignment="1">
      <alignment horizontal="center" vertical="center"/>
    </xf>
    <xf numFmtId="0" fontId="9" fillId="5" borderId="14" xfId="0" applyFont="1" applyFill="1" applyBorder="1" applyAlignment="1">
      <alignment horizontal="center" vertical="center"/>
    </xf>
    <xf numFmtId="0" fontId="9" fillId="5" borderId="14" xfId="0" applyFont="1" applyFill="1" applyBorder="1"/>
    <xf numFmtId="0" fontId="11" fillId="5" borderId="14" xfId="0" applyFont="1" applyFill="1" applyBorder="1"/>
    <xf numFmtId="0" fontId="0" fillId="5" borderId="14" xfId="0" applyFill="1" applyBorder="1"/>
    <xf numFmtId="0" fontId="0" fillId="5" borderId="16" xfId="0" applyFill="1" applyBorder="1"/>
    <xf numFmtId="0" fontId="9" fillId="8" borderId="17" xfId="0" applyFont="1" applyFill="1" applyBorder="1" applyAlignment="1">
      <alignment horizontal="left" vertical="center"/>
    </xf>
    <xf numFmtId="0" fontId="0" fillId="8" borderId="8" xfId="0" applyFill="1" applyBorder="1"/>
    <xf numFmtId="0" fontId="9" fillId="8" borderId="8" xfId="0" applyFont="1" applyFill="1" applyBorder="1" applyAlignment="1">
      <alignment horizontal="center" vertical="center"/>
    </xf>
    <xf numFmtId="0" fontId="9" fillId="8" borderId="9" xfId="0" applyFont="1" applyFill="1" applyBorder="1" applyAlignment="1">
      <alignment horizontal="center" vertical="center"/>
    </xf>
    <xf numFmtId="0" fontId="0" fillId="5" borderId="18" xfId="0" applyFill="1" applyBorder="1"/>
    <xf numFmtId="0" fontId="0" fillId="5" borderId="19" xfId="0" applyFill="1" applyBorder="1"/>
    <xf numFmtId="0" fontId="10" fillId="5" borderId="0" xfId="0" applyFont="1" applyFill="1" applyBorder="1" applyAlignment="1">
      <alignment horizontal="center" vertical="top" wrapText="1"/>
    </xf>
    <xf numFmtId="0" fontId="7" fillId="5" borderId="0" xfId="0" applyFont="1" applyFill="1" applyBorder="1" applyAlignment="1">
      <alignment horizontal="center" vertical="center"/>
    </xf>
    <xf numFmtId="0" fontId="0" fillId="0" borderId="0" xfId="0" applyBorder="1"/>
    <xf numFmtId="0" fontId="0" fillId="5" borderId="20" xfId="0" applyFill="1" applyBorder="1"/>
    <xf numFmtId="0" fontId="0" fillId="5" borderId="21" xfId="0" applyFill="1" applyBorder="1"/>
    <xf numFmtId="0" fontId="9" fillId="5" borderId="21" xfId="0" applyFont="1" applyFill="1" applyBorder="1" applyAlignment="1">
      <alignment horizontal="center" vertical="center"/>
    </xf>
    <xf numFmtId="0" fontId="10" fillId="5" borderId="21" xfId="0" applyFont="1" applyFill="1" applyBorder="1" applyAlignment="1">
      <alignment horizontal="center" vertical="center"/>
    </xf>
    <xf numFmtId="0" fontId="9" fillId="5" borderId="21" xfId="0" applyFont="1" applyFill="1" applyBorder="1"/>
    <xf numFmtId="0" fontId="11" fillId="5" borderId="21" xfId="0" applyFont="1" applyFill="1" applyBorder="1"/>
    <xf numFmtId="0" fontId="0" fillId="5" borderId="22" xfId="0" applyFill="1" applyBorder="1"/>
    <xf numFmtId="0" fontId="0" fillId="0" borderId="0" xfId="0" applyAlignment="1">
      <alignment horizontal="center"/>
    </xf>
    <xf numFmtId="0" fontId="18" fillId="0" borderId="2" xfId="0" applyFont="1" applyBorder="1" applyAlignment="1">
      <alignment horizontal="center"/>
    </xf>
    <xf numFmtId="0" fontId="19" fillId="0" borderId="3" xfId="0" applyFont="1" applyBorder="1" applyAlignment="1">
      <alignment horizontal="center"/>
    </xf>
    <xf numFmtId="0" fontId="19" fillId="0" borderId="6" xfId="0" applyFont="1" applyBorder="1" applyAlignment="1">
      <alignment horizontal="center"/>
    </xf>
    <xf numFmtId="0" fontId="23" fillId="0" borderId="7" xfId="0" applyFont="1" applyBorder="1" applyAlignment="1">
      <alignment horizontal="center"/>
    </xf>
    <xf numFmtId="0" fontId="23" fillId="0" borderId="8" xfId="0" applyFont="1" applyBorder="1" applyAlignment="1">
      <alignment horizontal="center"/>
    </xf>
    <xf numFmtId="0" fontId="23" fillId="0" borderId="9" xfId="0" applyFont="1" applyBorder="1" applyAlignment="1">
      <alignment horizontal="center"/>
    </xf>
    <xf numFmtId="0" fontId="23" fillId="0" borderId="12" xfId="0" applyFont="1" applyBorder="1" applyAlignment="1">
      <alignment horizontal="center"/>
    </xf>
    <xf numFmtId="0" fontId="0" fillId="9" borderId="1" xfId="0" applyFill="1" applyBorder="1" applyAlignment="1">
      <alignment horizontal="center" vertical="center"/>
    </xf>
    <xf numFmtId="0" fontId="0" fillId="0" borderId="1" xfId="0" applyFill="1" applyBorder="1" applyAlignment="1">
      <alignment horizontal="center"/>
    </xf>
    <xf numFmtId="0" fontId="24" fillId="2" borderId="1" xfId="0" applyFont="1" applyFill="1" applyBorder="1" applyAlignment="1">
      <alignment horizontal="center"/>
    </xf>
    <xf numFmtId="0" fontId="25" fillId="0" borderId="0" xfId="1" applyAlignment="1" applyProtection="1"/>
    <xf numFmtId="164" fontId="0" fillId="0" borderId="1" xfId="0" applyNumberFormat="1" applyFill="1" applyBorder="1" applyAlignment="1">
      <alignment horizontal="center"/>
    </xf>
    <xf numFmtId="2" fontId="7" fillId="0" borderId="1" xfId="0" applyNumberFormat="1" applyFont="1" applyBorder="1" applyAlignment="1">
      <alignment horizontal="center"/>
    </xf>
    <xf numFmtId="2" fontId="27" fillId="0" borderId="1" xfId="0" applyNumberFormat="1" applyFont="1" applyFill="1" applyBorder="1" applyAlignment="1">
      <alignment horizontal="center"/>
    </xf>
    <xf numFmtId="0" fontId="0" fillId="5" borderId="2" xfId="0" applyFill="1" applyBorder="1"/>
    <xf numFmtId="0" fontId="0" fillId="5" borderId="3" xfId="0" applyFill="1" applyBorder="1"/>
    <xf numFmtId="0" fontId="0" fillId="5" borderId="6" xfId="0" applyFill="1" applyBorder="1"/>
    <xf numFmtId="0" fontId="10" fillId="6" borderId="23"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5"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0" borderId="27" xfId="0" applyFont="1" applyBorder="1" applyAlignment="1">
      <alignment horizontal="center" vertical="center" wrapText="1"/>
    </xf>
    <xf numFmtId="0" fontId="10" fillId="0" borderId="25" xfId="0" applyFont="1" applyBorder="1" applyAlignment="1">
      <alignment horizontal="center" vertical="center" wrapText="1"/>
    </xf>
    <xf numFmtId="0" fontId="10" fillId="8" borderId="23" xfId="0" applyFont="1" applyFill="1" applyBorder="1" applyAlignment="1">
      <alignment horizontal="center" vertical="center" wrapText="1"/>
    </xf>
    <xf numFmtId="0" fontId="10" fillId="8" borderId="28" xfId="0" applyFont="1" applyFill="1" applyBorder="1" applyAlignment="1">
      <alignment horizontal="center" vertical="center" wrapText="1"/>
    </xf>
    <xf numFmtId="0" fontId="0" fillId="0" borderId="29" xfId="0" applyBorder="1" applyAlignment="1">
      <alignment horizontal="center"/>
    </xf>
    <xf numFmtId="0" fontId="0" fillId="0" borderId="30" xfId="0" applyBorder="1" applyAlignment="1">
      <alignment horizontal="center"/>
    </xf>
    <xf numFmtId="0" fontId="0" fillId="8" borderId="31" xfId="0" applyFill="1" applyBorder="1" applyAlignment="1">
      <alignment horizontal="center"/>
    </xf>
    <xf numFmtId="0" fontId="0" fillId="8" borderId="32" xfId="0" applyFill="1" applyBorder="1" applyAlignment="1">
      <alignment horizontal="center"/>
    </xf>
    <xf numFmtId="0" fontId="0" fillId="0" borderId="33" xfId="0" applyBorder="1" applyAlignment="1">
      <alignment horizontal="center"/>
    </xf>
    <xf numFmtId="0" fontId="0" fillId="8" borderId="34" xfId="0" applyFill="1" applyBorder="1" applyAlignment="1">
      <alignment horizontal="center"/>
    </xf>
    <xf numFmtId="0" fontId="0" fillId="0" borderId="35" xfId="0" applyBorder="1" applyAlignment="1">
      <alignment horizontal="center"/>
    </xf>
    <xf numFmtId="0" fontId="0" fillId="8" borderId="36" xfId="0" applyFill="1" applyBorder="1" applyAlignment="1">
      <alignment horizontal="center"/>
    </xf>
    <xf numFmtId="0" fontId="0" fillId="4" borderId="7" xfId="0" applyFill="1" applyBorder="1"/>
    <xf numFmtId="0" fontId="0" fillId="4" borderId="8" xfId="0" applyFill="1" applyBorder="1"/>
    <xf numFmtId="0" fontId="10" fillId="6" borderId="37"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37" xfId="0" applyFont="1" applyFill="1" applyBorder="1" applyAlignment="1">
      <alignment horizontal="center"/>
    </xf>
    <xf numFmtId="0" fontId="9" fillId="0" borderId="24" xfId="0" applyFont="1" applyFill="1" applyBorder="1" applyAlignment="1">
      <alignment horizontal="center"/>
    </xf>
    <xf numFmtId="0" fontId="9" fillId="8" borderId="23" xfId="0" applyFont="1" applyFill="1" applyBorder="1" applyAlignment="1">
      <alignment horizontal="center"/>
    </xf>
    <xf numFmtId="0" fontId="9" fillId="8" borderId="26" xfId="0" applyFont="1" applyFill="1" applyBorder="1" applyAlignment="1">
      <alignment horizontal="center"/>
    </xf>
    <xf numFmtId="0" fontId="0" fillId="4" borderId="9" xfId="0" applyFill="1" applyBorder="1"/>
    <xf numFmtId="0" fontId="10" fillId="5" borderId="0" xfId="0" applyFont="1" applyFill="1" applyBorder="1"/>
    <xf numFmtId="0" fontId="9" fillId="5" borderId="0" xfId="0" applyFont="1" applyFill="1" applyBorder="1" applyAlignment="1">
      <alignment horizontal="left"/>
    </xf>
    <xf numFmtId="0" fontId="0" fillId="5" borderId="0" xfId="0" applyFill="1" applyBorder="1" applyAlignment="1">
      <alignment horizontal="left"/>
    </xf>
    <xf numFmtId="0" fontId="29" fillId="0" borderId="0" xfId="0" applyFont="1" applyAlignment="1">
      <alignment horizontal="left" vertical="center"/>
    </xf>
    <xf numFmtId="0" fontId="10" fillId="6" borderId="10" xfId="0" applyFont="1" applyFill="1" applyBorder="1" applyAlignment="1">
      <alignment horizontal="center"/>
    </xf>
    <xf numFmtId="0" fontId="0" fillId="6" borderId="23" xfId="0" applyFill="1" applyBorder="1"/>
    <xf numFmtId="0" fontId="0" fillId="6" borderId="24" xfId="0" applyFill="1" applyBorder="1"/>
    <xf numFmtId="0" fontId="0" fillId="6" borderId="26" xfId="0" applyFill="1" applyBorder="1"/>
    <xf numFmtId="0" fontId="0" fillId="0" borderId="38" xfId="0" applyBorder="1" applyAlignment="1">
      <alignment horizontal="center"/>
    </xf>
    <xf numFmtId="0" fontId="0" fillId="0" borderId="39" xfId="0" applyBorder="1"/>
    <xf numFmtId="0" fontId="0" fillId="0" borderId="40" xfId="0" applyBorder="1"/>
    <xf numFmtId="0" fontId="0" fillId="0" borderId="5" xfId="0" applyBorder="1"/>
    <xf numFmtId="0" fontId="9" fillId="0" borderId="38" xfId="0" applyFont="1" applyFill="1" applyBorder="1" applyAlignment="1">
      <alignment horizontal="center"/>
    </xf>
    <xf numFmtId="0" fontId="0" fillId="0" borderId="39" xfId="0" applyFill="1" applyBorder="1"/>
    <xf numFmtId="0" fontId="0" fillId="0" borderId="40" xfId="0" applyFill="1" applyBorder="1"/>
    <xf numFmtId="0" fontId="0" fillId="0" borderId="5" xfId="0" applyFill="1" applyBorder="1"/>
    <xf numFmtId="0" fontId="9" fillId="0" borderId="38" xfId="0" applyFont="1" applyBorder="1" applyAlignment="1">
      <alignment horizontal="center"/>
    </xf>
    <xf numFmtId="0" fontId="10" fillId="6" borderId="41" xfId="0" applyFont="1" applyFill="1" applyBorder="1" applyAlignment="1">
      <alignment horizontal="center"/>
    </xf>
    <xf numFmtId="0" fontId="0" fillId="6" borderId="42" xfId="0" applyFill="1" applyBorder="1"/>
    <xf numFmtId="0" fontId="0" fillId="6" borderId="43" xfId="0" applyFill="1" applyBorder="1"/>
    <xf numFmtId="0" fontId="0" fillId="0" borderId="41" xfId="0" applyBorder="1" applyAlignment="1">
      <alignment horizontal="center"/>
    </xf>
    <xf numFmtId="0" fontId="0" fillId="0" borderId="44" xfId="0" applyBorder="1"/>
    <xf numFmtId="0" fontId="0" fillId="0" borderId="43" xfId="0" applyBorder="1"/>
    <xf numFmtId="0" fontId="0" fillId="0" borderId="6" xfId="0" applyBorder="1"/>
    <xf numFmtId="0" fontId="0" fillId="0" borderId="18" xfId="0" applyBorder="1"/>
    <xf numFmtId="0" fontId="0" fillId="0" borderId="12" xfId="0" applyBorder="1" applyAlignment="1">
      <alignment horizontal="center"/>
    </xf>
    <xf numFmtId="0" fontId="0" fillId="0" borderId="45" xfId="0" applyBorder="1"/>
    <xf numFmtId="0" fontId="0" fillId="0" borderId="46" xfId="0" applyBorder="1"/>
    <xf numFmtId="0" fontId="0" fillId="0" borderId="9" xfId="0" applyBorder="1"/>
    <xf numFmtId="0" fontId="10" fillId="0" borderId="0" xfId="0" applyFont="1" applyFill="1" applyBorder="1" applyAlignment="1">
      <alignment horizontal="center"/>
    </xf>
    <xf numFmtId="0" fontId="10" fillId="0" borderId="41" xfId="0" applyFont="1" applyBorder="1" applyAlignment="1">
      <alignment horizontal="center"/>
    </xf>
    <xf numFmtId="0" fontId="0" fillId="0" borderId="42" xfId="0" applyBorder="1"/>
    <xf numFmtId="0" fontId="10" fillId="0" borderId="38" xfId="0" applyFont="1" applyBorder="1" applyAlignment="1">
      <alignment horizontal="center"/>
    </xf>
    <xf numFmtId="0" fontId="10" fillId="0" borderId="12" xfId="0" applyFont="1" applyBorder="1" applyAlignment="1">
      <alignment horizontal="center"/>
    </xf>
    <xf numFmtId="0" fontId="0" fillId="0" borderId="47" xfId="0" applyBorder="1"/>
    <xf numFmtId="0" fontId="10" fillId="0" borderId="2" xfId="0" applyFont="1" applyBorder="1" applyAlignment="1">
      <alignment horizontal="center"/>
    </xf>
    <xf numFmtId="0" fontId="10" fillId="0" borderId="4" xfId="0" applyFont="1" applyBorder="1" applyAlignment="1">
      <alignment horizontal="center"/>
    </xf>
    <xf numFmtId="0" fontId="10" fillId="0" borderId="7" xfId="0" applyFont="1" applyBorder="1" applyAlignment="1">
      <alignment horizontal="center"/>
    </xf>
    <xf numFmtId="0" fontId="0" fillId="0" borderId="0" xfId="0" applyAlignment="1"/>
    <xf numFmtId="0" fontId="10" fillId="0" borderId="41" xfId="0" applyFont="1" applyBorder="1"/>
    <xf numFmtId="0" fontId="10" fillId="0" borderId="10" xfId="0" applyFont="1" applyBorder="1"/>
    <xf numFmtId="0" fontId="10" fillId="0" borderId="37" xfId="0" applyFont="1" applyFill="1" applyBorder="1"/>
    <xf numFmtId="0" fontId="10" fillId="0" borderId="10" xfId="0" applyFont="1" applyFill="1" applyBorder="1"/>
    <xf numFmtId="0" fontId="10" fillId="0" borderId="26" xfId="0" applyFont="1" applyFill="1" applyBorder="1"/>
    <xf numFmtId="0" fontId="10" fillId="0" borderId="12" xfId="0" applyFont="1" applyBorder="1"/>
    <xf numFmtId="0" fontId="7" fillId="0" borderId="38" xfId="0" applyFont="1" applyBorder="1"/>
    <xf numFmtId="0" fontId="7" fillId="0" borderId="0" xfId="0" applyFont="1" applyFill="1" applyBorder="1"/>
    <xf numFmtId="0" fontId="7" fillId="0" borderId="38" xfId="0" applyFont="1" applyFill="1" applyBorder="1"/>
    <xf numFmtId="0" fontId="7" fillId="0" borderId="5" xfId="0" applyFont="1" applyFill="1" applyBorder="1"/>
    <xf numFmtId="0" fontId="10" fillId="0" borderId="12" xfId="0" applyFont="1" applyFill="1" applyBorder="1"/>
    <xf numFmtId="0" fontId="10" fillId="0" borderId="38" xfId="0" applyFont="1" applyBorder="1"/>
    <xf numFmtId="0" fontId="7" fillId="0" borderId="12" xfId="0" applyFont="1" applyFill="1" applyBorder="1"/>
    <xf numFmtId="0" fontId="7" fillId="0" borderId="12" xfId="0" applyFont="1" applyBorder="1"/>
    <xf numFmtId="0" fontId="7" fillId="0" borderId="8" xfId="0" applyFont="1" applyFill="1" applyBorder="1"/>
    <xf numFmtId="0" fontId="7" fillId="0" borderId="9" xfId="0" applyFont="1" applyFill="1" applyBorder="1"/>
    <xf numFmtId="0" fontId="10" fillId="6" borderId="41" xfId="0" applyFont="1" applyFill="1" applyBorder="1"/>
    <xf numFmtId="0" fontId="10" fillId="0" borderId="2" xfId="0" applyFont="1" applyBorder="1"/>
    <xf numFmtId="0" fontId="0" fillId="0" borderId="41" xfId="0" applyBorder="1"/>
    <xf numFmtId="0" fontId="0" fillId="0" borderId="3" xfId="0" applyBorder="1"/>
    <xf numFmtId="0" fontId="10" fillId="6" borderId="38" xfId="0" applyFont="1" applyFill="1" applyBorder="1"/>
    <xf numFmtId="0" fontId="10" fillId="0" borderId="4" xfId="0" applyFont="1" applyBorder="1"/>
    <xf numFmtId="0" fontId="0" fillId="0" borderId="38" xfId="0" applyBorder="1"/>
    <xf numFmtId="0" fontId="10" fillId="6" borderId="12" xfId="0" applyFont="1" applyFill="1" applyBorder="1"/>
    <xf numFmtId="0" fontId="10" fillId="0" borderId="7" xfId="0" applyFont="1" applyBorder="1"/>
    <xf numFmtId="0" fontId="0" fillId="0" borderId="12" xfId="0" applyBorder="1"/>
    <xf numFmtId="0" fontId="0" fillId="0" borderId="8" xfId="0" applyBorder="1"/>
    <xf numFmtId="0" fontId="10" fillId="8" borderId="38" xfId="0" applyFont="1" applyFill="1" applyBorder="1"/>
    <xf numFmtId="0" fontId="0" fillId="0" borderId="38" xfId="0" applyFill="1" applyBorder="1"/>
    <xf numFmtId="0" fontId="10" fillId="8" borderId="12" xfId="0" applyFont="1" applyFill="1" applyBorder="1"/>
    <xf numFmtId="0" fontId="0" fillId="0" borderId="12" xfId="0" applyFill="1" applyBorder="1"/>
    <xf numFmtId="0" fontId="10" fillId="10" borderId="38" xfId="0" applyFont="1" applyFill="1" applyBorder="1"/>
    <xf numFmtId="0" fontId="10" fillId="10" borderId="12" xfId="0" applyFont="1" applyFill="1" applyBorder="1"/>
    <xf numFmtId="0" fontId="10" fillId="11" borderId="38" xfId="0" applyFont="1" applyFill="1" applyBorder="1"/>
    <xf numFmtId="0" fontId="10" fillId="11" borderId="12" xfId="0" applyFont="1" applyFill="1" applyBorder="1"/>
    <xf numFmtId="0" fontId="10" fillId="4" borderId="0" xfId="0" applyFont="1" applyFill="1" applyBorder="1"/>
    <xf numFmtId="0" fontId="10" fillId="3" borderId="41" xfId="0" applyFont="1" applyFill="1" applyBorder="1"/>
    <xf numFmtId="0" fontId="10" fillId="3" borderId="38" xfId="0" applyFont="1" applyFill="1" applyBorder="1"/>
    <xf numFmtId="0" fontId="10" fillId="3" borderId="12" xfId="0" applyFont="1" applyFill="1" applyBorder="1"/>
    <xf numFmtId="2" fontId="0" fillId="0" borderId="1" xfId="0" applyNumberFormat="1" applyFill="1" applyBorder="1" applyAlignment="1">
      <alignment horizontal="center"/>
    </xf>
    <xf numFmtId="2" fontId="0" fillId="2" borderId="1" xfId="0" applyNumberFormat="1" applyFill="1" applyBorder="1" applyAlignment="1">
      <alignment horizontal="center"/>
    </xf>
    <xf numFmtId="0" fontId="35" fillId="2" borderId="1" xfId="0" applyFont="1" applyFill="1" applyBorder="1" applyAlignment="1">
      <alignment horizontal="center"/>
    </xf>
    <xf numFmtId="0" fontId="24" fillId="0" borderId="1" xfId="0" applyFont="1" applyFill="1" applyBorder="1" applyAlignment="1">
      <alignment horizontal="center"/>
    </xf>
    <xf numFmtId="0" fontId="35" fillId="0" borderId="1" xfId="0" applyFont="1" applyFill="1" applyBorder="1" applyAlignment="1">
      <alignment horizontal="center"/>
    </xf>
    <xf numFmtId="0" fontId="35" fillId="0" borderId="1" xfId="0" applyFont="1" applyBorder="1"/>
    <xf numFmtId="0" fontId="0" fillId="4" borderId="0" xfId="0" applyFill="1"/>
    <xf numFmtId="0" fontId="0" fillId="6" borderId="0" xfId="0" applyFill="1"/>
    <xf numFmtId="0" fontId="38" fillId="6" borderId="1" xfId="0" applyFont="1" applyFill="1" applyBorder="1"/>
    <xf numFmtId="0" fontId="0" fillId="6" borderId="1" xfId="0" applyFill="1" applyBorder="1"/>
    <xf numFmtId="0" fontId="38" fillId="4" borderId="1" xfId="0" applyFont="1" applyFill="1" applyBorder="1"/>
    <xf numFmtId="0" fontId="0" fillId="4" borderId="1" xfId="0" applyFill="1" applyBorder="1"/>
    <xf numFmtId="0" fontId="38" fillId="0" borderId="1" xfId="0" applyFont="1" applyFill="1" applyBorder="1"/>
    <xf numFmtId="0" fontId="0" fillId="0" borderId="1" xfId="0" applyFill="1" applyBorder="1"/>
    <xf numFmtId="1" fontId="0" fillId="4" borderId="1" xfId="0" applyNumberFormat="1" applyFill="1" applyBorder="1"/>
    <xf numFmtId="0" fontId="39" fillId="0" borderId="0" xfId="0" applyFont="1"/>
    <xf numFmtId="0" fontId="38" fillId="4" borderId="40" xfId="0" applyFont="1" applyFill="1" applyBorder="1"/>
    <xf numFmtId="0" fontId="40" fillId="0" borderId="0" xfId="0" applyFont="1" applyFill="1"/>
    <xf numFmtId="0" fontId="40" fillId="0" borderId="0" xfId="0" applyFont="1" applyFill="1" applyBorder="1"/>
    <xf numFmtId="0" fontId="40" fillId="0" borderId="0" xfId="0" applyFont="1"/>
    <xf numFmtId="0" fontId="0" fillId="4" borderId="1" xfId="0" applyFill="1" applyBorder="1" applyAlignment="1">
      <alignment horizontal="left"/>
    </xf>
    <xf numFmtId="0" fontId="36" fillId="4" borderId="1" xfId="0" applyFont="1" applyFill="1" applyBorder="1"/>
    <xf numFmtId="0" fontId="36" fillId="4" borderId="1" xfId="0" applyFont="1" applyFill="1" applyBorder="1" applyAlignment="1">
      <alignment horizontal="left"/>
    </xf>
    <xf numFmtId="1" fontId="0" fillId="6" borderId="1" xfId="0" applyNumberFormat="1" applyFill="1" applyBorder="1"/>
    <xf numFmtId="0" fontId="42" fillId="0" borderId="0" xfId="0" applyFont="1"/>
    <xf numFmtId="0" fontId="43" fillId="6" borderId="1" xfId="0" applyFont="1" applyFill="1" applyBorder="1"/>
    <xf numFmtId="0" fontId="41" fillId="0" borderId="0" xfId="0" applyFont="1"/>
    <xf numFmtId="0" fontId="44" fillId="7" borderId="0" xfId="0" applyFont="1" applyFill="1" applyAlignment="1">
      <alignment horizontal="left" vertical="center"/>
    </xf>
    <xf numFmtId="0" fontId="44" fillId="4" borderId="0" xfId="0" applyFont="1" applyFill="1" applyAlignment="1">
      <alignment horizontal="left" vertical="center"/>
    </xf>
    <xf numFmtId="0" fontId="44" fillId="12" borderId="0" xfId="0" applyFont="1" applyFill="1" applyAlignment="1">
      <alignment horizontal="left" vertical="center"/>
    </xf>
    <xf numFmtId="0" fontId="45" fillId="0" borderId="0" xfId="0" applyFont="1"/>
    <xf numFmtId="0" fontId="0" fillId="0" borderId="0" xfId="0" applyAlignment="1">
      <alignment wrapText="1"/>
    </xf>
    <xf numFmtId="0" fontId="38" fillId="4" borderId="1" xfId="0" applyFont="1" applyFill="1" applyBorder="1" applyAlignment="1">
      <alignment wrapText="1"/>
    </xf>
    <xf numFmtId="2" fontId="0" fillId="4" borderId="1" xfId="0" applyNumberFormat="1" applyFill="1" applyBorder="1" applyAlignment="1">
      <alignment wrapText="1"/>
    </xf>
    <xf numFmtId="0" fontId="0" fillId="0" borderId="4" xfId="0" applyBorder="1"/>
    <xf numFmtId="0" fontId="42" fillId="0" borderId="0" xfId="0" applyFont="1" applyBorder="1"/>
    <xf numFmtId="0" fontId="0" fillId="0" borderId="7" xfId="0" applyBorder="1"/>
    <xf numFmtId="0" fontId="42" fillId="0" borderId="5" xfId="0" applyFont="1" applyBorder="1"/>
    <xf numFmtId="2" fontId="0" fillId="0" borderId="0" xfId="0" applyNumberFormat="1" applyBorder="1"/>
    <xf numFmtId="0" fontId="41" fillId="0" borderId="0" xfId="0" applyFont="1" applyBorder="1"/>
    <xf numFmtId="0" fontId="7" fillId="2" borderId="10" xfId="0" applyFont="1" applyFill="1" applyBorder="1" applyAlignment="1">
      <alignment horizontal="center" vertical="center"/>
    </xf>
    <xf numFmtId="0" fontId="41" fillId="0" borderId="2" xfId="0" applyFont="1" applyBorder="1"/>
    <xf numFmtId="0" fontId="48" fillId="0" borderId="0" xfId="0" applyFont="1" applyBorder="1"/>
    <xf numFmtId="0" fontId="49" fillId="0" borderId="0" xfId="0" applyFont="1"/>
    <xf numFmtId="0" fontId="44" fillId="7" borderId="0" xfId="4" applyFont="1" applyFill="1" applyAlignment="1">
      <alignment horizontal="left" vertical="center"/>
    </xf>
    <xf numFmtId="0" fontId="1" fillId="0" borderId="0" xfId="4"/>
    <xf numFmtId="0" fontId="1" fillId="0" borderId="0" xfId="4" applyFont="1"/>
    <xf numFmtId="0" fontId="38" fillId="6" borderId="1" xfId="4" applyFont="1" applyFill="1" applyBorder="1"/>
    <xf numFmtId="0" fontId="1" fillId="6" borderId="1" xfId="4" applyFill="1" applyBorder="1"/>
    <xf numFmtId="0" fontId="1" fillId="6" borderId="1" xfId="4" applyFont="1" applyFill="1" applyBorder="1"/>
    <xf numFmtId="0" fontId="38" fillId="0" borderId="0" xfId="4" applyFont="1"/>
    <xf numFmtId="0" fontId="50" fillId="0" borderId="0" xfId="4" applyFont="1"/>
    <xf numFmtId="0" fontId="38" fillId="4" borderId="1" xfId="4" applyFont="1" applyFill="1" applyBorder="1"/>
    <xf numFmtId="0" fontId="36" fillId="4" borderId="1" xfId="4" applyFont="1" applyFill="1" applyBorder="1"/>
    <xf numFmtId="0" fontId="1" fillId="4" borderId="1" xfId="4" applyFont="1" applyFill="1" applyBorder="1"/>
    <xf numFmtId="0" fontId="51" fillId="0" borderId="0" xfId="2"/>
    <xf numFmtId="0" fontId="51" fillId="0" borderId="0" xfId="2" applyBorder="1"/>
    <xf numFmtId="0" fontId="51" fillId="0" borderId="0" xfId="2" applyFill="1"/>
    <xf numFmtId="0" fontId="36" fillId="0" borderId="0" xfId="4" applyFont="1" applyFill="1" applyBorder="1"/>
    <xf numFmtId="0" fontId="1" fillId="0" borderId="0" xfId="4" applyFill="1" applyBorder="1"/>
    <xf numFmtId="0" fontId="51" fillId="4" borderId="1" xfId="2" applyFill="1" applyBorder="1"/>
    <xf numFmtId="0" fontId="10" fillId="0" borderId="0" xfId="0" applyFont="1"/>
    <xf numFmtId="0" fontId="44" fillId="0" borderId="0" xfId="4" applyFont="1" applyFill="1" applyAlignment="1">
      <alignment horizontal="left" vertical="center"/>
    </xf>
    <xf numFmtId="0" fontId="9" fillId="0" borderId="1" xfId="3" applyBorder="1"/>
    <xf numFmtId="0" fontId="9" fillId="0" borderId="0" xfId="3"/>
    <xf numFmtId="0" fontId="4" fillId="4" borderId="1" xfId="3" applyFont="1" applyFill="1" applyBorder="1" applyAlignment="1">
      <alignment horizontal="left"/>
    </xf>
    <xf numFmtId="0" fontId="4" fillId="0" borderId="1" xfId="3" applyFont="1" applyBorder="1" applyAlignment="1">
      <alignment horizontal="left"/>
    </xf>
    <xf numFmtId="0" fontId="52" fillId="0" borderId="0" xfId="3" applyFont="1" applyFill="1" applyBorder="1"/>
    <xf numFmtId="0" fontId="9" fillId="0" borderId="0" xfId="3" applyBorder="1"/>
    <xf numFmtId="0" fontId="52" fillId="0" borderId="0" xfId="3" applyFont="1" applyFill="1" applyBorder="1" applyAlignment="1">
      <alignment horizontal="left"/>
    </xf>
    <xf numFmtId="165" fontId="52" fillId="0" borderId="0" xfId="3" applyNumberFormat="1" applyFont="1" applyFill="1" applyBorder="1" applyAlignment="1">
      <alignment horizontal="left"/>
    </xf>
    <xf numFmtId="0" fontId="4" fillId="13" borderId="1" xfId="3" applyFont="1" applyFill="1" applyBorder="1" applyAlignment="1">
      <alignment horizontal="left"/>
    </xf>
    <xf numFmtId="0" fontId="9" fillId="0" borderId="0" xfId="3" applyNumberFormat="1" applyAlignment="1">
      <alignment horizontal="left" wrapText="1"/>
    </xf>
    <xf numFmtId="0" fontId="4" fillId="0" borderId="1" xfId="3" applyFont="1" applyBorder="1"/>
    <xf numFmtId="0" fontId="54" fillId="0" borderId="0" xfId="3" applyFont="1" applyAlignment="1">
      <alignment horizontal="justify"/>
    </xf>
    <xf numFmtId="0" fontId="3" fillId="0" borderId="0" xfId="3" applyFont="1" applyAlignment="1">
      <alignment horizontal="justify"/>
    </xf>
    <xf numFmtId="0" fontId="4" fillId="0" borderId="0" xfId="3" applyFont="1" applyAlignment="1">
      <alignment horizontal="justify"/>
    </xf>
    <xf numFmtId="0" fontId="32" fillId="0" borderId="0" xfId="3" applyFont="1" applyAlignment="1">
      <alignment horizontal="justify"/>
    </xf>
    <xf numFmtId="0" fontId="4" fillId="0" borderId="12" xfId="3" applyFont="1" applyBorder="1" applyAlignment="1">
      <alignment horizontal="center" wrapText="1"/>
    </xf>
    <xf numFmtId="3" fontId="4" fillId="0" borderId="9" xfId="3" applyNumberFormat="1" applyFont="1" applyBorder="1" applyAlignment="1">
      <alignment horizontal="center" wrapText="1"/>
    </xf>
    <xf numFmtId="0" fontId="4" fillId="0" borderId="9" xfId="3" applyFont="1" applyBorder="1" applyAlignment="1">
      <alignment horizontal="center" wrapText="1"/>
    </xf>
    <xf numFmtId="0" fontId="9" fillId="0" borderId="0" xfId="3" applyAlignment="1">
      <alignment horizontal="right"/>
    </xf>
    <xf numFmtId="0" fontId="11" fillId="0" borderId="0" xfId="3" applyFont="1"/>
    <xf numFmtId="0" fontId="9" fillId="0" borderId="1" xfId="3" applyBorder="1" applyAlignment="1">
      <alignment horizontal="right"/>
    </xf>
    <xf numFmtId="0" fontId="4" fillId="0" borderId="0" xfId="3" applyFont="1" applyBorder="1" applyAlignment="1">
      <alignment horizontal="center" wrapText="1"/>
    </xf>
    <xf numFmtId="3" fontId="4" fillId="0" borderId="0" xfId="3" applyNumberFormat="1" applyFont="1" applyBorder="1" applyAlignment="1">
      <alignment horizontal="center" wrapText="1"/>
    </xf>
    <xf numFmtId="0" fontId="11" fillId="6" borderId="20" xfId="3" applyFont="1" applyFill="1" applyBorder="1" applyAlignment="1">
      <alignment horizontal="left" wrapText="1"/>
    </xf>
    <xf numFmtId="0" fontId="9" fillId="6" borderId="21" xfId="3" applyFill="1" applyBorder="1" applyAlignment="1">
      <alignment horizontal="left" wrapText="1"/>
    </xf>
    <xf numFmtId="0" fontId="9" fillId="6" borderId="22" xfId="3" applyFill="1" applyBorder="1" applyAlignment="1">
      <alignment horizontal="left" wrapText="1"/>
    </xf>
    <xf numFmtId="0" fontId="4" fillId="13" borderId="10" xfId="3" applyFont="1" applyFill="1" applyBorder="1" applyAlignment="1">
      <alignment horizontal="center" vertical="center" wrapText="1"/>
    </xf>
    <xf numFmtId="0" fontId="6" fillId="13" borderId="26" xfId="3" applyFont="1" applyFill="1" applyBorder="1" applyAlignment="1">
      <alignment horizontal="center" vertical="center" wrapText="1"/>
    </xf>
    <xf numFmtId="0" fontId="4" fillId="13" borderId="26" xfId="3" applyFont="1" applyFill="1" applyBorder="1" applyAlignment="1">
      <alignment horizontal="center" vertical="center" wrapText="1"/>
    </xf>
    <xf numFmtId="0" fontId="0" fillId="3" borderId="0" xfId="0" applyFill="1" applyAlignment="1">
      <alignment vertical="center"/>
    </xf>
    <xf numFmtId="0" fontId="57" fillId="0" borderId="0" xfId="3" applyFont="1" applyFill="1" applyAlignment="1"/>
    <xf numFmtId="0" fontId="9" fillId="0" borderId="0" xfId="3" applyFill="1"/>
    <xf numFmtId="2" fontId="58" fillId="2" borderId="1" xfId="3" applyNumberFormat="1" applyFont="1" applyFill="1" applyBorder="1"/>
    <xf numFmtId="0" fontId="9" fillId="0" borderId="48" xfId="3" applyBorder="1" applyAlignment="1">
      <alignment horizontal="right"/>
    </xf>
    <xf numFmtId="2" fontId="58" fillId="2" borderId="48" xfId="3" applyNumberFormat="1" applyFont="1" applyFill="1" applyBorder="1"/>
    <xf numFmtId="0" fontId="9" fillId="0" borderId="49" xfId="3" applyBorder="1" applyAlignment="1">
      <alignment horizontal="right"/>
    </xf>
    <xf numFmtId="2" fontId="58" fillId="0" borderId="49" xfId="3" applyNumberFormat="1" applyFont="1" applyBorder="1"/>
    <xf numFmtId="0" fontId="9" fillId="0" borderId="50" xfId="3" applyBorder="1" applyAlignment="1">
      <alignment horizontal="right"/>
    </xf>
    <xf numFmtId="2" fontId="58" fillId="0" borderId="50" xfId="3" applyNumberFormat="1" applyFont="1" applyBorder="1"/>
    <xf numFmtId="0" fontId="9" fillId="0" borderId="50" xfId="3" applyBorder="1"/>
    <xf numFmtId="2" fontId="58" fillId="0" borderId="50" xfId="3" applyNumberFormat="1" applyFont="1" applyFill="1" applyBorder="1"/>
    <xf numFmtId="0" fontId="49" fillId="0" borderId="0" xfId="0" applyFont="1" applyAlignment="1">
      <alignment horizontal="left" vertical="center"/>
    </xf>
    <xf numFmtId="0" fontId="41" fillId="2" borderId="0" xfId="0" applyFont="1" applyFill="1" applyAlignment="1">
      <alignment horizontal="center" vertical="center"/>
    </xf>
    <xf numFmtId="15" fontId="41" fillId="2" borderId="0" xfId="0" applyNumberFormat="1" applyFont="1" applyFill="1" applyAlignment="1">
      <alignment horizontal="center" vertical="center"/>
    </xf>
    <xf numFmtId="0" fontId="49" fillId="0" borderId="0" xfId="0" applyFont="1" applyAlignment="1">
      <alignment vertical="center"/>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9" fillId="2" borderId="23" xfId="0" applyFont="1" applyFill="1" applyBorder="1" applyAlignment="1">
      <alignment horizontal="center"/>
    </xf>
    <xf numFmtId="0" fontId="9" fillId="2" borderId="37" xfId="0" applyFont="1" applyFill="1" applyBorder="1" applyAlignment="1">
      <alignment horizontal="center"/>
    </xf>
    <xf numFmtId="0" fontId="9" fillId="2" borderId="24" xfId="0" applyFont="1" applyFill="1" applyBorder="1" applyAlignment="1">
      <alignment horizontal="center"/>
    </xf>
    <xf numFmtId="0" fontId="9" fillId="2" borderId="28" xfId="0" applyFont="1" applyFill="1" applyBorder="1" applyAlignment="1">
      <alignment horizontal="center"/>
    </xf>
    <xf numFmtId="0" fontId="44" fillId="0" borderId="0" xfId="0" applyFont="1" applyFill="1" applyAlignment="1">
      <alignment horizontal="left" vertical="center"/>
    </xf>
    <xf numFmtId="0" fontId="10" fillId="12" borderId="0" xfId="0" applyFont="1" applyFill="1"/>
    <xf numFmtId="0" fontId="0" fillId="12" borderId="0" xfId="0" applyFill="1"/>
    <xf numFmtId="0" fontId="9" fillId="12" borderId="0" xfId="0" applyFont="1" applyFill="1"/>
    <xf numFmtId="0" fontId="9" fillId="12" borderId="0" xfId="0" applyFont="1" applyFill="1" applyAlignment="1">
      <alignment horizontal="center" vertical="center"/>
    </xf>
    <xf numFmtId="0" fontId="9" fillId="12" borderId="0" xfId="0" applyFont="1" applyFill="1" applyBorder="1" applyAlignment="1">
      <alignment horizontal="center" vertical="center"/>
    </xf>
    <xf numFmtId="0" fontId="10" fillId="4" borderId="0" xfId="0" applyFont="1" applyFill="1"/>
    <xf numFmtId="0" fontId="9" fillId="4" borderId="0" xfId="0" applyFont="1" applyFill="1"/>
    <xf numFmtId="0" fontId="4" fillId="0" borderId="1" xfId="0" applyFont="1" applyBorder="1" applyAlignment="1">
      <alignment horizontal="justify"/>
    </xf>
    <xf numFmtId="0" fontId="8" fillId="0" borderId="1" xfId="0" applyFont="1" applyBorder="1" applyAlignment="1">
      <alignment horizontal="center"/>
    </xf>
    <xf numFmtId="0" fontId="9" fillId="5" borderId="1" xfId="0" applyFont="1" applyFill="1" applyBorder="1" applyAlignment="1">
      <alignment horizontal="center"/>
    </xf>
    <xf numFmtId="0" fontId="3" fillId="13" borderId="1" xfId="0" applyFont="1" applyFill="1" applyBorder="1"/>
    <xf numFmtId="0" fontId="60" fillId="6" borderId="1" xfId="0" applyFont="1" applyFill="1" applyBorder="1"/>
    <xf numFmtId="0" fontId="38" fillId="4" borderId="1" xfId="4" applyFont="1" applyFill="1" applyBorder="1" applyAlignment="1">
      <alignment horizontal="center"/>
    </xf>
    <xf numFmtId="0" fontId="38" fillId="4" borderId="1" xfId="0" applyFont="1" applyFill="1" applyBorder="1" applyAlignment="1">
      <alignment horizontal="center"/>
    </xf>
    <xf numFmtId="0" fontId="61" fillId="0" borderId="0" xfId="0" applyFont="1" applyBorder="1"/>
    <xf numFmtId="0" fontId="36" fillId="6" borderId="1" xfId="0" applyFont="1" applyFill="1" applyBorder="1" applyAlignment="1">
      <alignment horizontal="center"/>
    </xf>
    <xf numFmtId="0" fontId="0" fillId="6" borderId="1" xfId="0" applyFill="1" applyBorder="1" applyAlignment="1">
      <alignment horizontal="center"/>
    </xf>
    <xf numFmtId="0" fontId="36" fillId="6" borderId="1" xfId="0" applyFont="1" applyFill="1" applyBorder="1" applyAlignment="1">
      <alignment horizontal="center" vertical="center"/>
    </xf>
    <xf numFmtId="0" fontId="0" fillId="6" borderId="1" xfId="0" applyFill="1" applyBorder="1" applyAlignment="1">
      <alignment horizontal="center" vertical="center"/>
    </xf>
    <xf numFmtId="0" fontId="38" fillId="6" borderId="1" xfId="0" applyFont="1" applyFill="1" applyBorder="1" applyAlignment="1">
      <alignment horizontal="center" vertical="center"/>
    </xf>
    <xf numFmtId="0" fontId="36" fillId="6" borderId="1" xfId="0" applyFont="1" applyFill="1" applyBorder="1" applyAlignment="1">
      <alignment horizontal="right" vertical="center"/>
    </xf>
    <xf numFmtId="0" fontId="64" fillId="6" borderId="0" xfId="0" applyFont="1" applyFill="1" applyAlignment="1">
      <alignment horizontal="center" vertical="center"/>
    </xf>
    <xf numFmtId="0" fontId="1" fillId="6" borderId="1" xfId="0" applyFont="1" applyFill="1" applyBorder="1" applyAlignment="1">
      <alignment horizontal="center" vertical="center"/>
    </xf>
    <xf numFmtId="0" fontId="0" fillId="6" borderId="1" xfId="0" applyFont="1" applyFill="1" applyBorder="1" applyAlignment="1">
      <alignment horizontal="center" vertical="center"/>
    </xf>
    <xf numFmtId="0" fontId="0" fillId="2" borderId="1" xfId="0" applyFill="1" applyBorder="1" applyAlignment="1">
      <alignment horizontal="center" vertical="center"/>
    </xf>
    <xf numFmtId="0" fontId="0" fillId="4" borderId="1" xfId="0" applyFill="1" applyBorder="1" applyAlignment="1">
      <alignment horizontal="center" vertical="center"/>
    </xf>
    <xf numFmtId="2" fontId="0" fillId="4" borderId="1" xfId="0" applyNumberFormat="1" applyFill="1" applyBorder="1" applyAlignment="1">
      <alignment horizontal="center" vertical="center"/>
    </xf>
    <xf numFmtId="1" fontId="40" fillId="4" borderId="1" xfId="0" applyNumberFormat="1" applyFont="1" applyFill="1" applyBorder="1" applyAlignment="1">
      <alignment horizontal="center" vertical="center"/>
    </xf>
    <xf numFmtId="1" fontId="65" fillId="4" borderId="1" xfId="0" applyNumberFormat="1" applyFont="1" applyFill="1" applyBorder="1" applyAlignment="1">
      <alignment horizontal="center" vertical="center"/>
    </xf>
    <xf numFmtId="0" fontId="0" fillId="4" borderId="40" xfId="0" applyFill="1" applyBorder="1" applyAlignment="1">
      <alignment horizontal="center" vertical="center"/>
    </xf>
    <xf numFmtId="2" fontId="65" fillId="4" borderId="1" xfId="0" applyNumberFormat="1" applyFont="1" applyFill="1" applyBorder="1" applyAlignment="1">
      <alignment horizontal="center" vertical="center"/>
    </xf>
    <xf numFmtId="0" fontId="65" fillId="4" borderId="1" xfId="0" applyFont="1" applyFill="1" applyBorder="1" applyAlignment="1">
      <alignment horizontal="center" vertical="center"/>
    </xf>
    <xf numFmtId="0" fontId="0" fillId="0" borderId="0" xfId="0" applyAlignment="1">
      <alignment horizontal="center" vertical="center"/>
    </xf>
    <xf numFmtId="165" fontId="0" fillId="4" borderId="1" xfId="0" applyNumberFormat="1" applyFill="1" applyBorder="1" applyAlignment="1">
      <alignment horizontal="center" vertical="center"/>
    </xf>
    <xf numFmtId="0" fontId="60" fillId="4" borderId="1" xfId="0" applyFont="1" applyFill="1" applyBorder="1"/>
    <xf numFmtId="0" fontId="36" fillId="6" borderId="1" xfId="4" applyFont="1" applyFill="1" applyBorder="1" applyAlignment="1">
      <alignment horizontal="center"/>
    </xf>
    <xf numFmtId="0" fontId="1" fillId="6" borderId="1" xfId="4" applyFont="1" applyFill="1" applyBorder="1" applyAlignment="1">
      <alignment horizontal="center"/>
    </xf>
    <xf numFmtId="0" fontId="1" fillId="6" borderId="1" xfId="4" applyFill="1" applyBorder="1" applyAlignment="1">
      <alignment horizontal="center"/>
    </xf>
    <xf numFmtId="0" fontId="1" fillId="2" borderId="1" xfId="4" applyFill="1" applyBorder="1" applyAlignment="1">
      <alignment horizontal="center" vertical="center"/>
    </xf>
    <xf numFmtId="2" fontId="38" fillId="4" borderId="1" xfId="4" applyNumberFormat="1" applyFont="1" applyFill="1" applyBorder="1" applyAlignment="1">
      <alignment horizontal="center"/>
    </xf>
    <xf numFmtId="0" fontId="38" fillId="4" borderId="49" xfId="4" applyFont="1" applyFill="1" applyBorder="1" applyAlignment="1">
      <alignment horizontal="center"/>
    </xf>
    <xf numFmtId="0" fontId="1" fillId="0" borderId="0" xfId="4" applyAlignment="1">
      <alignment horizontal="center"/>
    </xf>
    <xf numFmtId="0" fontId="38" fillId="4" borderId="1" xfId="4" applyFont="1" applyFill="1" applyBorder="1" applyAlignment="1">
      <alignment horizontal="center" vertical="center"/>
    </xf>
    <xf numFmtId="0" fontId="1" fillId="0" borderId="0" xfId="4" applyAlignment="1">
      <alignment horizontal="center" vertical="center"/>
    </xf>
    <xf numFmtId="2" fontId="38" fillId="4" borderId="1" xfId="4" applyNumberFormat="1" applyFont="1" applyFill="1" applyBorder="1" applyAlignment="1">
      <alignment horizontal="center" vertical="center"/>
    </xf>
    <xf numFmtId="0" fontId="1" fillId="2" borderId="1" xfId="4" applyFill="1" applyBorder="1"/>
    <xf numFmtId="0" fontId="9" fillId="4" borderId="1" xfId="2" applyFont="1" applyFill="1" applyBorder="1"/>
    <xf numFmtId="2" fontId="51" fillId="4" borderId="1" xfId="2" applyNumberFormat="1" applyFill="1" applyBorder="1" applyAlignment="1">
      <alignment horizontal="center" vertical="center"/>
    </xf>
    <xf numFmtId="0" fontId="4" fillId="4" borderId="1" xfId="3" applyFont="1" applyFill="1" applyBorder="1" applyAlignment="1">
      <alignment horizontal="center"/>
    </xf>
    <xf numFmtId="0" fontId="9" fillId="2" borderId="1" xfId="3" applyFill="1" applyBorder="1" applyAlignment="1">
      <alignment horizontal="center"/>
    </xf>
    <xf numFmtId="0" fontId="6" fillId="4" borderId="1" xfId="3" applyFont="1" applyFill="1" applyBorder="1" applyAlignment="1">
      <alignment horizontal="center"/>
    </xf>
    <xf numFmtId="0" fontId="4" fillId="0" borderId="1" xfId="3" applyFont="1" applyBorder="1" applyAlignment="1">
      <alignment horizontal="center"/>
    </xf>
    <xf numFmtId="0" fontId="9" fillId="0" borderId="1" xfId="3" applyFill="1" applyBorder="1" applyAlignment="1">
      <alignment horizontal="center"/>
    </xf>
    <xf numFmtId="165" fontId="53" fillId="0" borderId="1" xfId="3" applyNumberFormat="1" applyFont="1" applyFill="1" applyBorder="1" applyAlignment="1">
      <alignment horizontal="center"/>
    </xf>
    <xf numFmtId="0" fontId="9" fillId="0" borderId="1" xfId="3" applyBorder="1" applyAlignment="1">
      <alignment horizontal="center"/>
    </xf>
    <xf numFmtId="0" fontId="4" fillId="0" borderId="0" xfId="3" applyFont="1" applyAlignment="1">
      <alignment horizontal="center"/>
    </xf>
    <xf numFmtId="0" fontId="9" fillId="0" borderId="0" xfId="3" applyAlignment="1">
      <alignment horizontal="center"/>
    </xf>
    <xf numFmtId="0" fontId="9" fillId="0" borderId="51" xfId="3" applyBorder="1"/>
    <xf numFmtId="0" fontId="36" fillId="4" borderId="1" xfId="3" applyFont="1" applyFill="1" applyBorder="1" applyAlignment="1">
      <alignment vertical="center"/>
    </xf>
    <xf numFmtId="1" fontId="0" fillId="6" borderId="1" xfId="0" applyNumberFormat="1" applyFill="1" applyBorder="1" applyAlignment="1">
      <alignment horizontal="center" vertical="center"/>
    </xf>
    <xf numFmtId="0" fontId="36" fillId="4" borderId="1" xfId="0" applyFont="1" applyFill="1" applyBorder="1" applyAlignment="1">
      <alignment horizontal="center" vertical="center"/>
    </xf>
    <xf numFmtId="0" fontId="38" fillId="4" borderId="1" xfId="0" applyFont="1" applyFill="1" applyBorder="1" applyAlignment="1">
      <alignment horizontal="center" vertical="center"/>
    </xf>
    <xf numFmtId="0" fontId="1" fillId="4" borderId="1" xfId="0" applyFont="1" applyFill="1" applyBorder="1"/>
    <xf numFmtId="0" fontId="1" fillId="4" borderId="1" xfId="0" applyFont="1" applyFill="1" applyBorder="1" applyAlignment="1">
      <alignment horizontal="center" vertical="center"/>
    </xf>
    <xf numFmtId="166" fontId="0" fillId="2" borderId="1" xfId="0" applyNumberFormat="1" applyFill="1" applyBorder="1" applyAlignment="1">
      <alignment horizontal="center" vertical="center"/>
    </xf>
    <xf numFmtId="1" fontId="0" fillId="2" borderId="1" xfId="0" applyNumberFormat="1" applyFill="1" applyBorder="1" applyAlignment="1">
      <alignment horizontal="center" vertical="center"/>
    </xf>
    <xf numFmtId="0" fontId="0" fillId="8" borderId="5" xfId="0" applyFill="1" applyBorder="1"/>
    <xf numFmtId="0" fontId="0" fillId="8" borderId="5" xfId="0" applyFill="1" applyBorder="1" applyAlignment="1">
      <alignment horizontal="center"/>
    </xf>
    <xf numFmtId="2" fontId="38" fillId="4" borderId="1" xfId="0" applyNumberFormat="1" applyFont="1" applyFill="1" applyBorder="1" applyAlignment="1">
      <alignment horizontal="center"/>
    </xf>
    <xf numFmtId="2" fontId="38" fillId="4" borderId="1" xfId="0" applyNumberFormat="1" applyFont="1" applyFill="1" applyBorder="1" applyAlignment="1">
      <alignment horizontal="center" vertical="center"/>
    </xf>
    <xf numFmtId="0" fontId="43" fillId="6" borderId="1" xfId="0" applyFont="1" applyFill="1" applyBorder="1" applyAlignment="1">
      <alignment horizontal="center" vertical="center"/>
    </xf>
    <xf numFmtId="1" fontId="38" fillId="4" borderId="1" xfId="0" applyNumberFormat="1" applyFont="1" applyFill="1" applyBorder="1" applyAlignment="1">
      <alignment horizontal="center"/>
    </xf>
    <xf numFmtId="0" fontId="36" fillId="6" borderId="1" xfId="0" applyFont="1" applyFill="1" applyBorder="1" applyAlignment="1">
      <alignment horizontal="right"/>
    </xf>
    <xf numFmtId="1" fontId="43" fillId="2" borderId="1" xfId="0" applyNumberFormat="1" applyFont="1" applyFill="1" applyBorder="1" applyAlignment="1">
      <alignment horizontal="center" vertical="center"/>
    </xf>
    <xf numFmtId="2" fontId="43" fillId="2" borderId="1" xfId="0" applyNumberFormat="1" applyFont="1" applyFill="1" applyBorder="1" applyAlignment="1">
      <alignment horizontal="center" vertical="center"/>
    </xf>
    <xf numFmtId="0" fontId="38" fillId="4" borderId="1" xfId="0" applyFont="1" applyFill="1" applyBorder="1" applyAlignment="1">
      <alignment horizontal="left" vertical="center"/>
    </xf>
    <xf numFmtId="0" fontId="0" fillId="0" borderId="0" xfId="0" applyBorder="1" applyAlignment="1">
      <alignment horizontal="center" vertical="center"/>
    </xf>
    <xf numFmtId="0" fontId="3" fillId="8" borderId="2" xfId="0" applyFont="1" applyFill="1" applyBorder="1" applyAlignment="1">
      <alignment horizontal="left" vertical="center"/>
    </xf>
    <xf numFmtId="0" fontId="9" fillId="8" borderId="3" xfId="0" applyFont="1" applyFill="1" applyBorder="1" applyAlignment="1">
      <alignment horizontal="center" vertical="center"/>
    </xf>
    <xf numFmtId="0" fontId="10" fillId="8" borderId="3" xfId="0" applyFont="1" applyFill="1" applyBorder="1" applyAlignment="1">
      <alignment horizontal="center" vertical="center"/>
    </xf>
    <xf numFmtId="0" fontId="9" fillId="8" borderId="6" xfId="0" applyFont="1" applyFill="1" applyBorder="1" applyAlignment="1">
      <alignment horizontal="center" vertical="center"/>
    </xf>
    <xf numFmtId="0" fontId="3" fillId="8" borderId="7" xfId="0" applyFont="1" applyFill="1" applyBorder="1" applyAlignment="1">
      <alignment horizontal="left" vertical="center"/>
    </xf>
    <xf numFmtId="0" fontId="10" fillId="8" borderId="8" xfId="0" applyFont="1" applyFill="1" applyBorder="1" applyAlignment="1">
      <alignment horizontal="center" vertical="center"/>
    </xf>
    <xf numFmtId="0" fontId="10" fillId="13" borderId="1" xfId="3" applyFont="1" applyFill="1" applyBorder="1" applyAlignment="1">
      <alignment horizontal="right"/>
    </xf>
    <xf numFmtId="0" fontId="35" fillId="0" borderId="1" xfId="0" applyFont="1" applyBorder="1" applyAlignment="1">
      <alignment horizontal="center" vertical="center"/>
    </xf>
    <xf numFmtId="0" fontId="0" fillId="0" borderId="1" xfId="0" applyBorder="1" applyAlignment="1">
      <alignment horizontal="center" vertical="center"/>
    </xf>
    <xf numFmtId="0" fontId="0" fillId="0" borderId="33" xfId="0" applyFill="1" applyBorder="1"/>
    <xf numFmtId="0" fontId="46" fillId="6" borderId="1" xfId="0" applyFont="1" applyFill="1" applyBorder="1" applyAlignment="1">
      <alignment horizontal="center" vertical="center"/>
    </xf>
    <xf numFmtId="2" fontId="0" fillId="2" borderId="1" xfId="0" applyNumberFormat="1" applyFill="1" applyBorder="1" applyAlignment="1">
      <alignment horizontal="center" vertical="center"/>
    </xf>
    <xf numFmtId="0" fontId="0" fillId="8" borderId="0" xfId="0" applyFill="1" applyAlignment="1">
      <alignment horizontal="center"/>
    </xf>
    <xf numFmtId="0" fontId="0" fillId="4" borderId="1" xfId="0" applyFill="1" applyBorder="1" applyAlignment="1">
      <alignment horizontal="center" vertical="center" wrapText="1"/>
    </xf>
    <xf numFmtId="2" fontId="0" fillId="4" borderId="1" xfId="0" applyNumberFormat="1" applyFill="1" applyBorder="1" applyAlignment="1">
      <alignment horizontal="center" vertical="center" wrapText="1"/>
    </xf>
    <xf numFmtId="1" fontId="0" fillId="4" borderId="1" xfId="0" applyNumberFormat="1" applyFill="1" applyBorder="1" applyAlignment="1">
      <alignment horizontal="center" vertical="center"/>
    </xf>
    <xf numFmtId="0" fontId="0" fillId="0" borderId="1" xfId="0" applyFill="1" applyBorder="1" applyAlignment="1">
      <alignment horizontal="center" vertical="center"/>
    </xf>
    <xf numFmtId="2" fontId="0" fillId="0" borderId="1" xfId="0" applyNumberFormat="1" applyBorder="1" applyAlignment="1">
      <alignment horizontal="center" vertical="center"/>
    </xf>
    <xf numFmtId="2" fontId="7" fillId="0" borderId="1" xfId="0" applyNumberFormat="1" applyFont="1" applyFill="1" applyBorder="1" applyAlignment="1">
      <alignment horizontal="center" vertical="center"/>
    </xf>
    <xf numFmtId="0" fontId="0" fillId="5" borderId="1" xfId="0" applyFill="1" applyBorder="1" applyAlignment="1">
      <alignment horizontal="center" vertical="center"/>
    </xf>
    <xf numFmtId="0" fontId="0" fillId="0" borderId="52" xfId="0" applyFill="1" applyBorder="1" applyAlignment="1">
      <alignment horizontal="center"/>
    </xf>
    <xf numFmtId="0" fontId="0" fillId="0" borderId="53" xfId="0" applyFill="1" applyBorder="1" applyAlignment="1">
      <alignment horizontal="center"/>
    </xf>
    <xf numFmtId="0" fontId="0" fillId="0" borderId="54" xfId="0" applyFill="1" applyBorder="1" applyAlignment="1">
      <alignment horizontal="center"/>
    </xf>
    <xf numFmtId="166" fontId="0" fillId="2" borderId="1" xfId="0" applyNumberFormat="1" applyFill="1" applyBorder="1" applyAlignment="1">
      <alignment horizontal="center"/>
    </xf>
    <xf numFmtId="0" fontId="0" fillId="2" borderId="1" xfId="0" applyFill="1" applyBorder="1" applyAlignment="1">
      <alignment horizontal="center"/>
    </xf>
    <xf numFmtId="0" fontId="0" fillId="4" borderId="51" xfId="0" applyFill="1" applyBorder="1"/>
    <xf numFmtId="0" fontId="38" fillId="4" borderId="49" xfId="0" applyFont="1" applyFill="1" applyBorder="1" applyAlignment="1">
      <alignment wrapText="1"/>
    </xf>
    <xf numFmtId="0" fontId="0" fillId="4" borderId="49" xfId="0" applyFill="1" applyBorder="1" applyAlignment="1">
      <alignment horizontal="center" vertical="center" wrapText="1"/>
    </xf>
    <xf numFmtId="2" fontId="0" fillId="4" borderId="49" xfId="0" applyNumberFormat="1" applyFill="1" applyBorder="1" applyAlignment="1">
      <alignment horizontal="center" vertical="center" wrapText="1"/>
    </xf>
    <xf numFmtId="0" fontId="38" fillId="0" borderId="21" xfId="0" applyFont="1" applyFill="1" applyBorder="1"/>
    <xf numFmtId="0" fontId="0" fillId="0" borderId="22" xfId="0" applyFill="1" applyBorder="1"/>
    <xf numFmtId="0" fontId="8" fillId="0" borderId="1" xfId="0" applyFont="1" applyBorder="1" applyAlignment="1">
      <alignment horizontal="center" vertical="center"/>
    </xf>
    <xf numFmtId="2" fontId="0" fillId="0" borderId="0" xfId="0" applyNumberFormat="1" applyFill="1" applyBorder="1" applyAlignment="1">
      <alignment horizontal="center"/>
    </xf>
    <xf numFmtId="0" fontId="35" fillId="0" borderId="50" xfId="0" applyFont="1" applyFill="1" applyBorder="1" applyAlignment="1">
      <alignment horizontal="center"/>
    </xf>
    <xf numFmtId="0" fontId="0" fillId="13" borderId="33" xfId="0" applyFill="1" applyBorder="1"/>
    <xf numFmtId="0" fontId="0" fillId="13" borderId="51" xfId="0" applyFill="1" applyBorder="1"/>
    <xf numFmtId="0" fontId="0" fillId="0" borderId="0" xfId="0" quotePrefix="1"/>
    <xf numFmtId="0" fontId="70" fillId="4" borderId="1" xfId="0" applyFont="1" applyFill="1" applyBorder="1"/>
    <xf numFmtId="0" fontId="9" fillId="0" borderId="1" xfId="3" applyFont="1" applyBorder="1"/>
    <xf numFmtId="0" fontId="0" fillId="0" borderId="0" xfId="0" applyAlignment="1">
      <alignment horizontal="left" wrapText="1"/>
    </xf>
    <xf numFmtId="0" fontId="38" fillId="4" borderId="1" xfId="4" applyFont="1" applyFill="1" applyBorder="1" applyAlignment="1">
      <alignment horizontal="center"/>
    </xf>
    <xf numFmtId="0" fontId="10" fillId="0" borderId="0" xfId="2" applyFont="1" applyAlignment="1">
      <alignment horizontal="left" wrapText="1"/>
    </xf>
    <xf numFmtId="0" fontId="38" fillId="4" borderId="33" xfId="4" applyFont="1" applyFill="1" applyBorder="1" applyAlignment="1">
      <alignment horizontal="center"/>
    </xf>
    <xf numFmtId="0" fontId="38" fillId="4" borderId="50" xfId="4" applyFont="1" applyFill="1" applyBorder="1" applyAlignment="1">
      <alignment horizontal="center"/>
    </xf>
    <xf numFmtId="0" fontId="38" fillId="4" borderId="51" xfId="4" applyFont="1" applyFill="1" applyBorder="1" applyAlignment="1">
      <alignment horizontal="center"/>
    </xf>
    <xf numFmtId="0" fontId="9" fillId="0" borderId="0" xfId="3" applyNumberFormat="1" applyAlignment="1">
      <alignment horizontal="left" wrapText="1"/>
    </xf>
    <xf numFmtId="0" fontId="16" fillId="5" borderId="11"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16" fillId="8" borderId="37" xfId="0" applyFont="1" applyFill="1" applyBorder="1" applyAlignment="1">
      <alignment horizontal="center" vertical="center" wrapText="1"/>
    </xf>
    <xf numFmtId="0" fontId="16" fillId="8" borderId="26" xfId="0" applyFont="1" applyFill="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6" fillId="5" borderId="37" xfId="0" applyFont="1" applyFill="1" applyBorder="1" applyAlignment="1">
      <alignment horizontal="center" vertical="center" wrapText="1"/>
    </xf>
    <xf numFmtId="0" fontId="3" fillId="8" borderId="11" xfId="0" applyFont="1" applyFill="1" applyBorder="1" applyAlignment="1">
      <alignment horizontal="center" vertical="center"/>
    </xf>
    <xf numFmtId="0" fontId="3" fillId="8" borderId="37" xfId="0" applyFont="1" applyFill="1" applyBorder="1" applyAlignment="1">
      <alignment horizontal="center" vertical="center"/>
    </xf>
    <xf numFmtId="0" fontId="3" fillId="8" borderId="26" xfId="0" applyFont="1" applyFill="1" applyBorder="1" applyAlignment="1">
      <alignment horizontal="center" vertical="center"/>
    </xf>
    <xf numFmtId="0" fontId="16" fillId="8" borderId="11" xfId="0" applyFont="1" applyFill="1" applyBorder="1" applyAlignment="1">
      <alignment horizontal="center" vertical="center" wrapText="1"/>
    </xf>
    <xf numFmtId="0" fontId="6" fillId="6" borderId="19" xfId="3" applyFont="1" applyFill="1" applyBorder="1" applyAlignment="1">
      <alignment horizontal="left" wrapText="1"/>
    </xf>
    <xf numFmtId="0" fontId="6" fillId="6" borderId="0" xfId="3" applyFont="1" applyFill="1" applyBorder="1" applyAlignment="1">
      <alignment horizontal="left" wrapText="1"/>
    </xf>
    <xf numFmtId="0" fontId="6" fillId="6" borderId="18" xfId="3" applyFont="1" applyFill="1" applyBorder="1" applyAlignment="1">
      <alignment horizontal="left" wrapText="1"/>
    </xf>
    <xf numFmtId="0" fontId="6" fillId="0" borderId="0" xfId="3" applyFont="1" applyAlignment="1">
      <alignment horizontal="center" vertical="center" wrapText="1"/>
    </xf>
    <xf numFmtId="0" fontId="6" fillId="0" borderId="0" xfId="3" applyFont="1" applyAlignment="1">
      <alignment horizontal="left" vertical="center" wrapText="1"/>
    </xf>
    <xf numFmtId="0" fontId="4" fillId="6" borderId="13" xfId="3" applyFont="1" applyFill="1" applyBorder="1" applyAlignment="1">
      <alignment horizontal="left" wrapText="1"/>
    </xf>
    <xf numFmtId="0" fontId="4" fillId="6" borderId="14" xfId="3" applyFont="1" applyFill="1" applyBorder="1" applyAlignment="1">
      <alignment horizontal="left" wrapText="1"/>
    </xf>
    <xf numFmtId="0" fontId="4" fillId="6" borderId="16" xfId="3" applyFont="1" applyFill="1" applyBorder="1" applyAlignment="1">
      <alignment horizontal="left" wrapText="1"/>
    </xf>
    <xf numFmtId="0" fontId="4" fillId="0" borderId="0" xfId="3" applyFont="1" applyAlignment="1">
      <alignment horizontal="left" vertical="center" wrapText="1"/>
    </xf>
    <xf numFmtId="0" fontId="4" fillId="6" borderId="19" xfId="3" applyFont="1" applyFill="1" applyBorder="1" applyAlignment="1">
      <alignment horizontal="left" wrapText="1"/>
    </xf>
    <xf numFmtId="0" fontId="4" fillId="6" borderId="0" xfId="3" applyFont="1" applyFill="1" applyBorder="1" applyAlignment="1">
      <alignment horizontal="left" wrapText="1"/>
    </xf>
    <xf numFmtId="0" fontId="4" fillId="6" borderId="18" xfId="3" applyFont="1" applyFill="1" applyBorder="1" applyAlignment="1">
      <alignment horizontal="left" wrapText="1"/>
    </xf>
    <xf numFmtId="0" fontId="4" fillId="0" borderId="0" xfId="3" applyFont="1" applyAlignment="1">
      <alignment horizontal="left" wrapText="1"/>
    </xf>
    <xf numFmtId="0" fontId="59" fillId="0" borderId="49" xfId="3" applyFont="1" applyBorder="1" applyAlignment="1">
      <alignment horizontal="left"/>
    </xf>
    <xf numFmtId="0" fontId="9" fillId="13" borderId="33" xfId="3" applyFill="1" applyBorder="1" applyAlignment="1">
      <alignment horizontal="center"/>
    </xf>
    <xf numFmtId="0" fontId="9" fillId="13" borderId="50" xfId="3" applyFill="1" applyBorder="1" applyAlignment="1">
      <alignment horizontal="center"/>
    </xf>
    <xf numFmtId="0" fontId="9" fillId="13" borderId="51" xfId="3" applyFill="1" applyBorder="1" applyAlignment="1">
      <alignment horizontal="center"/>
    </xf>
    <xf numFmtId="0" fontId="59" fillId="0" borderId="1" xfId="3" applyFont="1" applyBorder="1" applyAlignment="1">
      <alignment horizontal="left"/>
    </xf>
    <xf numFmtId="0" fontId="59" fillId="0" borderId="48" xfId="3" applyFont="1" applyBorder="1" applyAlignment="1">
      <alignment horizontal="left"/>
    </xf>
    <xf numFmtId="0" fontId="9" fillId="13" borderId="1" xfId="3" applyFill="1" applyBorder="1" applyAlignment="1">
      <alignment horizontal="center"/>
    </xf>
    <xf numFmtId="0" fontId="0" fillId="14" borderId="1" xfId="0" applyFill="1" applyBorder="1" applyAlignment="1">
      <alignment horizontal="center"/>
    </xf>
    <xf numFmtId="0" fontId="0" fillId="8" borderId="0" xfId="0" applyFill="1" applyAlignment="1">
      <alignment horizontal="center"/>
    </xf>
    <xf numFmtId="0" fontId="41" fillId="8" borderId="0" xfId="0" applyFont="1" applyFill="1" applyAlignment="1">
      <alignment horizontal="center"/>
    </xf>
    <xf numFmtId="0" fontId="0" fillId="0" borderId="0" xfId="0" applyAlignment="1">
      <alignment horizontal="center"/>
    </xf>
    <xf numFmtId="0" fontId="28" fillId="4" borderId="3" xfId="0" applyFont="1" applyFill="1" applyBorder="1" applyAlignment="1">
      <alignment horizontal="center"/>
    </xf>
    <xf numFmtId="0" fontId="0" fillId="4" borderId="3" xfId="0" applyFill="1" applyBorder="1" applyAlignment="1"/>
    <xf numFmtId="0" fontId="0" fillId="0" borderId="3" xfId="0" applyBorder="1" applyAlignment="1"/>
    <xf numFmtId="0" fontId="0" fillId="0" borderId="6" xfId="0" applyBorder="1" applyAlignment="1"/>
    <xf numFmtId="0" fontId="0" fillId="0" borderId="0" xfId="0" applyBorder="1" applyAlignment="1"/>
    <xf numFmtId="0" fontId="0" fillId="0" borderId="5" xfId="0" applyBorder="1" applyAlignment="1"/>
    <xf numFmtId="0" fontId="0" fillId="0" borderId="8" xfId="0" applyBorder="1" applyAlignment="1"/>
    <xf numFmtId="0" fontId="0" fillId="0" borderId="9" xfId="0" applyBorder="1" applyAlignment="1"/>
    <xf numFmtId="0" fontId="29" fillId="6" borderId="56" xfId="0" applyFont="1" applyFill="1" applyBorder="1" applyAlignment="1">
      <alignment horizontal="center"/>
    </xf>
    <xf numFmtId="0" fontId="0" fillId="0" borderId="57" xfId="0" applyBorder="1" applyAlignment="1">
      <alignment horizontal="center"/>
    </xf>
    <xf numFmtId="0" fontId="31" fillId="5" borderId="2" xfId="0" applyFont="1" applyFill="1" applyBorder="1" applyAlignment="1">
      <alignment horizontal="center" vertical="center"/>
    </xf>
    <xf numFmtId="0" fontId="31" fillId="5" borderId="3" xfId="0" applyFont="1" applyFill="1" applyBorder="1" applyAlignment="1">
      <alignment horizontal="center" vertical="center"/>
    </xf>
    <xf numFmtId="0" fontId="31" fillId="5" borderId="6" xfId="0" applyFont="1" applyFill="1" applyBorder="1" applyAlignment="1">
      <alignment horizontal="center" vertical="center"/>
    </xf>
    <xf numFmtId="0" fontId="31" fillId="5" borderId="7" xfId="0" applyFont="1" applyFill="1" applyBorder="1" applyAlignment="1">
      <alignment horizontal="center" vertical="center"/>
    </xf>
    <xf numFmtId="0" fontId="31" fillId="5" borderId="8" xfId="0" applyFont="1" applyFill="1" applyBorder="1" applyAlignment="1">
      <alignment horizontal="center" vertical="center"/>
    </xf>
    <xf numFmtId="0" fontId="31" fillId="5" borderId="9" xfId="0" applyFont="1" applyFill="1" applyBorder="1" applyAlignment="1">
      <alignment horizontal="center" vertical="center"/>
    </xf>
    <xf numFmtId="0" fontId="32" fillId="0" borderId="2" xfId="0" applyFont="1" applyBorder="1" applyAlignment="1">
      <alignment horizontal="center"/>
    </xf>
    <xf numFmtId="0" fontId="32" fillId="0" borderId="3" xfId="0" applyFont="1" applyBorder="1" applyAlignment="1">
      <alignment horizontal="center"/>
    </xf>
    <xf numFmtId="0" fontId="32" fillId="0" borderId="6" xfId="0" applyFont="1" applyBorder="1" applyAlignment="1">
      <alignment horizontal="center"/>
    </xf>
    <xf numFmtId="0" fontId="32" fillId="0" borderId="4" xfId="0" applyFont="1" applyBorder="1" applyAlignment="1">
      <alignment horizontal="center"/>
    </xf>
    <xf numFmtId="0" fontId="32" fillId="0" borderId="0" xfId="0" applyFont="1" applyBorder="1" applyAlignment="1">
      <alignment horizontal="center"/>
    </xf>
    <xf numFmtId="0" fontId="32" fillId="0" borderId="5" xfId="0" applyFont="1" applyBorder="1" applyAlignment="1">
      <alignment horizontal="center"/>
    </xf>
    <xf numFmtId="0" fontId="7" fillId="0" borderId="2" xfId="0" applyFont="1" applyFill="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7" fillId="5" borderId="2" xfId="0" applyFont="1" applyFill="1" applyBorder="1" applyAlignment="1">
      <alignment horizontal="center" vertical="center"/>
    </xf>
    <xf numFmtId="0" fontId="0" fillId="5" borderId="3" xfId="0" applyFill="1" applyBorder="1" applyAlignment="1">
      <alignment horizontal="center" vertical="center"/>
    </xf>
    <xf numFmtId="0" fontId="0" fillId="5" borderId="6" xfId="0" applyFill="1" applyBorder="1" applyAlignment="1">
      <alignment horizontal="center" vertical="center"/>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0" fillId="5" borderId="9" xfId="0" applyFill="1" applyBorder="1" applyAlignment="1">
      <alignment horizontal="center" vertical="center"/>
    </xf>
    <xf numFmtId="0" fontId="10" fillId="11" borderId="41" xfId="0" applyFont="1" applyFill="1" applyBorder="1" applyAlignment="1">
      <alignment horizontal="center" vertical="center"/>
    </xf>
    <xf numFmtId="0" fontId="10" fillId="11" borderId="38" xfId="0" applyFont="1" applyFill="1" applyBorder="1" applyAlignment="1">
      <alignment horizontal="center" vertical="center"/>
    </xf>
    <xf numFmtId="0" fontId="10" fillId="11" borderId="12" xfId="0" applyFont="1" applyFill="1" applyBorder="1" applyAlignment="1">
      <alignment horizontal="center" vertical="center"/>
    </xf>
    <xf numFmtId="0" fontId="29" fillId="6" borderId="7" xfId="0" applyFont="1" applyFill="1" applyBorder="1" applyAlignment="1">
      <alignment horizontal="center"/>
    </xf>
    <xf numFmtId="0" fontId="0" fillId="0" borderId="8" xfId="0" applyBorder="1" applyAlignment="1">
      <alignment horizontal="center"/>
    </xf>
    <xf numFmtId="0" fontId="32" fillId="0" borderId="7" xfId="0" applyFont="1" applyBorder="1" applyAlignment="1">
      <alignment horizontal="center"/>
    </xf>
    <xf numFmtId="0" fontId="32" fillId="0" borderId="8" xfId="0" applyFont="1" applyBorder="1" applyAlignment="1">
      <alignment horizontal="center"/>
    </xf>
    <xf numFmtId="0" fontId="32" fillId="0" borderId="9" xfId="0" applyFont="1" applyBorder="1" applyAlignment="1">
      <alignment horizontal="center"/>
    </xf>
    <xf numFmtId="0" fontId="32" fillId="0" borderId="56" xfId="0" applyFont="1" applyBorder="1" applyAlignment="1">
      <alignment horizontal="center"/>
    </xf>
    <xf numFmtId="0" fontId="32" fillId="0" borderId="50" xfId="0" applyFont="1" applyBorder="1" applyAlignment="1">
      <alignment horizontal="center"/>
    </xf>
    <xf numFmtId="0" fontId="32" fillId="0" borderId="57" xfId="0" applyFont="1" applyBorder="1" applyAlignment="1">
      <alignment horizontal="center"/>
    </xf>
    <xf numFmtId="0" fontId="10" fillId="3" borderId="41" xfId="0" applyFont="1" applyFill="1" applyBorder="1" applyAlignment="1">
      <alignment horizontal="center" vertical="center"/>
    </xf>
    <xf numFmtId="0" fontId="10" fillId="3" borderId="38" xfId="0" applyFont="1" applyFill="1" applyBorder="1" applyAlignment="1">
      <alignment horizontal="center" vertical="center"/>
    </xf>
    <xf numFmtId="0" fontId="10" fillId="6" borderId="41" xfId="0" applyFont="1" applyFill="1" applyBorder="1" applyAlignment="1">
      <alignment horizontal="center" vertical="center"/>
    </xf>
    <xf numFmtId="0" fontId="10" fillId="6" borderId="38" xfId="0" applyFont="1" applyFill="1" applyBorder="1" applyAlignment="1">
      <alignment horizontal="center" vertical="center"/>
    </xf>
    <xf numFmtId="0" fontId="10" fillId="6" borderId="12" xfId="0" applyFont="1" applyFill="1" applyBorder="1" applyAlignment="1">
      <alignment horizontal="center" vertical="center"/>
    </xf>
    <xf numFmtId="0" fontId="29" fillId="0" borderId="11" xfId="0" applyFont="1" applyBorder="1" applyAlignment="1">
      <alignment horizontal="center" vertical="center"/>
    </xf>
    <xf numFmtId="0" fontId="29" fillId="0" borderId="37" xfId="0" applyFont="1" applyBorder="1" applyAlignment="1">
      <alignment horizontal="center" vertical="center"/>
    </xf>
    <xf numFmtId="0" fontId="29" fillId="0" borderId="26" xfId="0" applyFont="1" applyBorder="1" applyAlignment="1">
      <alignment horizontal="center" vertical="center"/>
    </xf>
    <xf numFmtId="0" fontId="29" fillId="6" borderId="55" xfId="0" applyFont="1" applyFill="1" applyBorder="1" applyAlignment="1">
      <alignment horizontal="center"/>
    </xf>
    <xf numFmtId="0" fontId="0" fillId="0" borderId="52" xfId="0" applyBorder="1" applyAlignment="1">
      <alignment horizontal="center"/>
    </xf>
    <xf numFmtId="0" fontId="30" fillId="5" borderId="2" xfId="0" applyFont="1" applyFill="1" applyBorder="1" applyAlignment="1">
      <alignment horizontal="center" vertical="center"/>
    </xf>
    <xf numFmtId="0" fontId="10" fillId="0" borderId="11" xfId="0" applyFont="1" applyBorder="1" applyAlignment="1">
      <alignment horizontal="center" vertical="center"/>
    </xf>
    <xf numFmtId="0" fontId="10" fillId="0" borderId="37" xfId="0" applyFont="1" applyBorder="1" applyAlignment="1">
      <alignment horizontal="center" vertical="center"/>
    </xf>
    <xf numFmtId="0" fontId="10" fillId="0" borderId="26" xfId="0" applyFont="1" applyBorder="1" applyAlignment="1">
      <alignment horizontal="center" vertical="center"/>
    </xf>
    <xf numFmtId="0" fontId="10" fillId="8" borderId="41" xfId="0" applyFont="1" applyFill="1" applyBorder="1" applyAlignment="1">
      <alignment horizontal="center" vertical="center"/>
    </xf>
    <xf numFmtId="0" fontId="10" fillId="8" borderId="38" xfId="0" applyFont="1" applyFill="1" applyBorder="1" applyAlignment="1">
      <alignment horizontal="center" vertical="center"/>
    </xf>
    <xf numFmtId="0" fontId="10" fillId="8" borderId="12" xfId="0" applyFont="1" applyFill="1" applyBorder="1" applyAlignment="1">
      <alignment horizontal="center" vertical="center"/>
    </xf>
  </cellXfs>
  <cellStyles count="5">
    <cellStyle name="Collegamento ipertestuale" xfId="1" builtinId="8"/>
    <cellStyle name="Normale" xfId="0" builtinId="0"/>
    <cellStyle name="Normale 2" xfId="2"/>
    <cellStyle name="Normale 3" xfId="3"/>
    <cellStyle name="Normale_predimensionamento palificata_012_01072013" xfId="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emf"/></Relationships>
</file>

<file path=xl/drawings/_rels/drawing10.xml.rels><?xml version="1.0" encoding="UTF-8" standalone="yes"?>
<Relationships xmlns="http://schemas.openxmlformats.org/package/2006/relationships"><Relationship Id="rId3" Type="http://schemas.openxmlformats.org/officeDocument/2006/relationships/image" Target="../media/image53.png"/><Relationship Id="rId7" Type="http://schemas.openxmlformats.org/officeDocument/2006/relationships/image" Target="../media/image39.png"/><Relationship Id="rId2" Type="http://schemas.openxmlformats.org/officeDocument/2006/relationships/image" Target="../media/image52.emf"/><Relationship Id="rId1" Type="http://schemas.openxmlformats.org/officeDocument/2006/relationships/image" Target="../media/image51.png"/><Relationship Id="rId6" Type="http://schemas.openxmlformats.org/officeDocument/2006/relationships/image" Target="../media/image48.jpeg"/><Relationship Id="rId5" Type="http://schemas.openxmlformats.org/officeDocument/2006/relationships/image" Target="../media/image55.png"/><Relationship Id="rId4" Type="http://schemas.openxmlformats.org/officeDocument/2006/relationships/image" Target="../media/image5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media/image14.png"/><Relationship Id="rId4" Type="http://schemas.openxmlformats.org/officeDocument/2006/relationships/image" Target="../media/image1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 Id="rId4" Type="http://schemas.openxmlformats.org/officeDocument/2006/relationships/image" Target="../media/image40.emf"/></Relationships>
</file>

<file path=xl/drawings/_rels/drawing8.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emf"/><Relationship Id="rId9" Type="http://schemas.openxmlformats.org/officeDocument/2006/relationships/image" Target="../media/image3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50.png"/><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 Id="rId4" Type="http://schemas.openxmlformats.org/officeDocument/2006/relationships/image" Target="../media/image2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2.emf"/><Relationship Id="rId2" Type="http://schemas.openxmlformats.org/officeDocument/2006/relationships/image" Target="../media/image31.emf"/><Relationship Id="rId1" Type="http://schemas.openxmlformats.org/officeDocument/2006/relationships/image" Target="../media/image30.emf"/><Relationship Id="rId4" Type="http://schemas.openxmlformats.org/officeDocument/2006/relationships/image" Target="../media/image3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36.wmf"/><Relationship Id="rId1" Type="http://schemas.openxmlformats.org/officeDocument/2006/relationships/image" Target="../media/image35.wmf"/></Relationships>
</file>

<file path=xl/drawings/drawing1.xml><?xml version="1.0" encoding="utf-8"?>
<xdr:wsDr xmlns:xdr="http://schemas.openxmlformats.org/drawingml/2006/spreadsheetDrawing" xmlns:a="http://schemas.openxmlformats.org/drawingml/2006/main">
  <xdr:twoCellAnchor>
    <xdr:from>
      <xdr:col>8</xdr:col>
      <xdr:colOff>514350</xdr:colOff>
      <xdr:row>8</xdr:row>
      <xdr:rowOff>76200</xdr:rowOff>
    </xdr:from>
    <xdr:to>
      <xdr:col>15</xdr:col>
      <xdr:colOff>95250</xdr:colOff>
      <xdr:row>16</xdr:row>
      <xdr:rowOff>95250</xdr:rowOff>
    </xdr:to>
    <xdr:pic>
      <xdr:nvPicPr>
        <xdr:cNvPr id="14337" name="Immagine 1" descr="fig. 39.jpg"/>
        <xdr:cNvPicPr>
          <a:picLocks noChangeAspect="1" noChangeArrowheads="1"/>
        </xdr:cNvPicPr>
      </xdr:nvPicPr>
      <xdr:blipFill>
        <a:blip xmlns:r="http://schemas.openxmlformats.org/officeDocument/2006/relationships" r:embed="rId1" cstate="print"/>
        <a:srcRect b="24893"/>
        <a:stretch>
          <a:fillRect/>
        </a:stretch>
      </xdr:blipFill>
      <xdr:spPr bwMode="auto">
        <a:xfrm>
          <a:off x="8229600" y="1600200"/>
          <a:ext cx="3743325" cy="1590675"/>
        </a:xfrm>
        <a:prstGeom prst="rect">
          <a:avLst/>
        </a:prstGeom>
        <a:noFill/>
        <a:ln w="9525">
          <a:noFill/>
          <a:miter lim="800000"/>
          <a:headEnd/>
          <a:tailEnd/>
        </a:ln>
      </xdr:spPr>
    </xdr:pic>
    <xdr:clientData/>
  </xdr:twoCellAnchor>
  <xdr:twoCellAnchor>
    <xdr:from>
      <xdr:col>8</xdr:col>
      <xdr:colOff>266700</xdr:colOff>
      <xdr:row>62</xdr:row>
      <xdr:rowOff>171450</xdr:rowOff>
    </xdr:from>
    <xdr:to>
      <xdr:col>16</xdr:col>
      <xdr:colOff>438150</xdr:colOff>
      <xdr:row>74</xdr:row>
      <xdr:rowOff>57150</xdr:rowOff>
    </xdr:to>
    <xdr:pic>
      <xdr:nvPicPr>
        <xdr:cNvPr id="14338" name="Immagine 2" descr="fig. 40.jpg"/>
        <xdr:cNvPicPr>
          <a:picLocks noChangeAspect="1" noChangeArrowheads="1"/>
        </xdr:cNvPicPr>
      </xdr:nvPicPr>
      <xdr:blipFill>
        <a:blip xmlns:r="http://schemas.openxmlformats.org/officeDocument/2006/relationships" r:embed="rId2" cstate="print"/>
        <a:srcRect b="27626"/>
        <a:stretch>
          <a:fillRect/>
        </a:stretch>
      </xdr:blipFill>
      <xdr:spPr bwMode="auto">
        <a:xfrm>
          <a:off x="7981950" y="12030075"/>
          <a:ext cx="4943475" cy="2171700"/>
        </a:xfrm>
        <a:prstGeom prst="rect">
          <a:avLst/>
        </a:prstGeom>
        <a:noFill/>
        <a:ln w="9525">
          <a:noFill/>
          <a:miter lim="800000"/>
          <a:headEnd/>
          <a:tailEnd/>
        </a:ln>
      </xdr:spPr>
    </xdr:pic>
    <xdr:clientData/>
  </xdr:twoCellAnchor>
  <xdr:twoCellAnchor>
    <xdr:from>
      <xdr:col>0</xdr:col>
      <xdr:colOff>161925</xdr:colOff>
      <xdr:row>21</xdr:row>
      <xdr:rowOff>38100</xdr:rowOff>
    </xdr:from>
    <xdr:to>
      <xdr:col>0</xdr:col>
      <xdr:colOff>2533650</xdr:colOff>
      <xdr:row>23</xdr:row>
      <xdr:rowOff>95250</xdr:rowOff>
    </xdr:to>
    <xdr:pic>
      <xdr:nvPicPr>
        <xdr:cNvPr id="14339" name="Picture 1"/>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161925" y="4086225"/>
          <a:ext cx="2371725" cy="438150"/>
        </a:xfrm>
        <a:prstGeom prst="rect">
          <a:avLst/>
        </a:prstGeom>
        <a:noFill/>
        <a:ln w="9525">
          <a:noFill/>
          <a:miter lim="800000"/>
          <a:headEnd/>
          <a:tailEnd/>
        </a:ln>
      </xdr:spPr>
    </xdr:pic>
    <xdr:clientData/>
  </xdr:twoCellAnchor>
  <xdr:twoCellAnchor>
    <xdr:from>
      <xdr:col>0</xdr:col>
      <xdr:colOff>495300</xdr:colOff>
      <xdr:row>59</xdr:row>
      <xdr:rowOff>47625</xdr:rowOff>
    </xdr:from>
    <xdr:to>
      <xdr:col>1</xdr:col>
      <xdr:colOff>57150</xdr:colOff>
      <xdr:row>62</xdr:row>
      <xdr:rowOff>142875</xdr:rowOff>
    </xdr:to>
    <xdr:pic>
      <xdr:nvPicPr>
        <xdr:cNvPr id="14340" name="Picture 2"/>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495300" y="11334750"/>
          <a:ext cx="2533650" cy="666750"/>
        </a:xfrm>
        <a:prstGeom prst="rect">
          <a:avLst/>
        </a:prstGeom>
        <a:noFill/>
        <a:ln w="9525">
          <a:noFill/>
          <a:miter lim="800000"/>
          <a:headEnd/>
          <a:tailEnd/>
        </a:ln>
      </xdr:spPr>
    </xdr:pic>
    <xdr:clientData/>
  </xdr:twoCellAnchor>
  <xdr:twoCellAnchor>
    <xdr:from>
      <xdr:col>0</xdr:col>
      <xdr:colOff>95250</xdr:colOff>
      <xdr:row>45</xdr:row>
      <xdr:rowOff>95250</xdr:rowOff>
    </xdr:from>
    <xdr:to>
      <xdr:col>1</xdr:col>
      <xdr:colOff>466725</xdr:colOff>
      <xdr:row>48</xdr:row>
      <xdr:rowOff>104775</xdr:rowOff>
    </xdr:to>
    <xdr:pic>
      <xdr:nvPicPr>
        <xdr:cNvPr id="14341" name="Picture 4"/>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95250" y="8715375"/>
          <a:ext cx="3343275" cy="581025"/>
        </a:xfrm>
        <a:prstGeom prst="rect">
          <a:avLst/>
        </a:prstGeom>
        <a:noFill/>
        <a:ln w="9525">
          <a:noFill/>
          <a:miter lim="800000"/>
          <a:headEnd/>
          <a:tailEnd/>
        </a:ln>
      </xdr:spPr>
    </xdr:pic>
    <xdr:clientData/>
  </xdr:twoCellAnchor>
  <xdr:twoCellAnchor>
    <xdr:from>
      <xdr:col>0</xdr:col>
      <xdr:colOff>552450</xdr:colOff>
      <xdr:row>31</xdr:row>
      <xdr:rowOff>95250</xdr:rowOff>
    </xdr:from>
    <xdr:to>
      <xdr:col>0</xdr:col>
      <xdr:colOff>2057400</xdr:colOff>
      <xdr:row>33</xdr:row>
      <xdr:rowOff>133350</xdr:rowOff>
    </xdr:to>
    <xdr:pic>
      <xdr:nvPicPr>
        <xdr:cNvPr id="14342" name="Picture 3"/>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552450" y="6048375"/>
          <a:ext cx="1504950" cy="419100"/>
        </a:xfrm>
        <a:prstGeom prst="rect">
          <a:avLst/>
        </a:prstGeom>
        <a:noFill/>
        <a:ln w="9525">
          <a:noFill/>
          <a:miter lim="800000"/>
          <a:headEnd/>
          <a:tailEnd/>
        </a:ln>
      </xdr:spPr>
    </xdr:pic>
    <xdr:clientData/>
  </xdr:twoCellAnchor>
  <xdr:twoCellAnchor>
    <xdr:from>
      <xdr:col>0</xdr:col>
      <xdr:colOff>390525</xdr:colOff>
      <xdr:row>68</xdr:row>
      <xdr:rowOff>0</xdr:rowOff>
    </xdr:from>
    <xdr:to>
      <xdr:col>1</xdr:col>
      <xdr:colOff>133350</xdr:colOff>
      <xdr:row>70</xdr:row>
      <xdr:rowOff>28575</xdr:rowOff>
    </xdr:to>
    <xdr:pic>
      <xdr:nvPicPr>
        <xdr:cNvPr id="14343" name="Picture 1"/>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390525" y="13001625"/>
          <a:ext cx="2714625" cy="409575"/>
        </a:xfrm>
        <a:prstGeom prst="rect">
          <a:avLst/>
        </a:prstGeom>
        <a:noFill/>
        <a:ln w="9525">
          <a:noFill/>
          <a:miter lim="800000"/>
          <a:headEnd/>
          <a:tailEnd/>
        </a:ln>
      </xdr:spPr>
    </xdr:pic>
    <xdr:clientData/>
  </xdr:twoCellAnchor>
  <xdr:twoCellAnchor>
    <xdr:from>
      <xdr:col>0</xdr:col>
      <xdr:colOff>857250</xdr:colOff>
      <xdr:row>76</xdr:row>
      <xdr:rowOff>180975</xdr:rowOff>
    </xdr:from>
    <xdr:to>
      <xdr:col>0</xdr:col>
      <xdr:colOff>2162175</xdr:colOff>
      <xdr:row>80</xdr:row>
      <xdr:rowOff>133350</xdr:rowOff>
    </xdr:to>
    <xdr:pic>
      <xdr:nvPicPr>
        <xdr:cNvPr id="14344" name="Picture 8"/>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a:stretch>
          <a:fillRect/>
        </a:stretch>
      </xdr:blipFill>
      <xdr:spPr bwMode="auto">
        <a:xfrm>
          <a:off x="857250" y="14706600"/>
          <a:ext cx="1304925" cy="714375"/>
        </a:xfrm>
        <a:prstGeom prst="rect">
          <a:avLst/>
        </a:prstGeom>
        <a:noFill/>
        <a:ln w="9525">
          <a:noFill/>
          <a:miter lim="800000"/>
          <a:headEnd/>
          <a:tailEnd/>
        </a:ln>
      </xdr:spPr>
    </xdr:pic>
    <xdr:clientData/>
  </xdr:twoCellAnchor>
  <xdr:twoCellAnchor>
    <xdr:from>
      <xdr:col>11</xdr:col>
      <xdr:colOff>161925</xdr:colOff>
      <xdr:row>75</xdr:row>
      <xdr:rowOff>0</xdr:rowOff>
    </xdr:from>
    <xdr:to>
      <xdr:col>15</xdr:col>
      <xdr:colOff>247650</xdr:colOff>
      <xdr:row>85</xdr:row>
      <xdr:rowOff>142875</xdr:rowOff>
    </xdr:to>
    <xdr:pic>
      <xdr:nvPicPr>
        <xdr:cNvPr id="14345" name="Immagine 71"/>
        <xdr:cNvPicPr>
          <a:picLocks noChangeAspect="1" noChangeArrowheads="1"/>
        </xdr:cNvPicPr>
      </xdr:nvPicPr>
      <xdr:blipFill>
        <a:blip xmlns:r="http://schemas.openxmlformats.org/officeDocument/2006/relationships" r:embed="rId9" cstate="print"/>
        <a:srcRect/>
        <a:stretch>
          <a:fillRect/>
        </a:stretch>
      </xdr:blipFill>
      <xdr:spPr bwMode="auto">
        <a:xfrm>
          <a:off x="9601200" y="14335125"/>
          <a:ext cx="2524125" cy="20669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590550</xdr:colOff>
      <xdr:row>28</xdr:row>
      <xdr:rowOff>152400</xdr:rowOff>
    </xdr:from>
    <xdr:to>
      <xdr:col>15</xdr:col>
      <xdr:colOff>371475</xdr:colOff>
      <xdr:row>30</xdr:row>
      <xdr:rowOff>133350</xdr:rowOff>
    </xdr:to>
    <xdr:pic>
      <xdr:nvPicPr>
        <xdr:cNvPr id="22529" name="Picture 2"/>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9782175" y="5743575"/>
          <a:ext cx="2219325" cy="361950"/>
        </a:xfrm>
        <a:prstGeom prst="rect">
          <a:avLst/>
        </a:prstGeom>
        <a:noFill/>
        <a:ln w="9525">
          <a:noFill/>
          <a:miter lim="800000"/>
          <a:headEnd/>
          <a:tailEnd/>
        </a:ln>
      </xdr:spPr>
    </xdr:pic>
    <xdr:clientData/>
  </xdr:twoCellAnchor>
  <xdr:twoCellAnchor editAs="oneCell">
    <xdr:from>
      <xdr:col>8</xdr:col>
      <xdr:colOff>400050</xdr:colOff>
      <xdr:row>6</xdr:row>
      <xdr:rowOff>47625</xdr:rowOff>
    </xdr:from>
    <xdr:to>
      <xdr:col>15</xdr:col>
      <xdr:colOff>219075</xdr:colOff>
      <xdr:row>15</xdr:row>
      <xdr:rowOff>171450</xdr:rowOff>
    </xdr:to>
    <xdr:pic>
      <xdr:nvPicPr>
        <xdr:cNvPr id="22530" name="Immagine 5"/>
        <xdr:cNvPicPr>
          <a:picLocks noChangeAspect="1" noChangeArrowheads="1"/>
        </xdr:cNvPicPr>
      </xdr:nvPicPr>
      <xdr:blipFill>
        <a:blip xmlns:r="http://schemas.openxmlformats.org/officeDocument/2006/relationships" r:embed="rId2" cstate="print"/>
        <a:srcRect l="975" t="2057"/>
        <a:stretch>
          <a:fillRect/>
        </a:stretch>
      </xdr:blipFill>
      <xdr:spPr bwMode="auto">
        <a:xfrm>
          <a:off x="7762875" y="1190625"/>
          <a:ext cx="4086225" cy="1838325"/>
        </a:xfrm>
        <a:prstGeom prst="rect">
          <a:avLst/>
        </a:prstGeom>
        <a:noFill/>
        <a:ln w="9525">
          <a:noFill/>
          <a:miter lim="800000"/>
          <a:headEnd/>
          <a:tailEnd/>
        </a:ln>
      </xdr:spPr>
    </xdr:pic>
    <xdr:clientData/>
  </xdr:twoCellAnchor>
  <xdr:twoCellAnchor>
    <xdr:from>
      <xdr:col>12</xdr:col>
      <xdr:colOff>19050</xdr:colOff>
      <xdr:row>18</xdr:row>
      <xdr:rowOff>114300</xdr:rowOff>
    </xdr:from>
    <xdr:to>
      <xdr:col>14</xdr:col>
      <xdr:colOff>428625</xdr:colOff>
      <xdr:row>19</xdr:row>
      <xdr:rowOff>152400</xdr:rowOff>
    </xdr:to>
    <xdr:pic>
      <xdr:nvPicPr>
        <xdr:cNvPr id="22531" name="Picture 1"/>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9820275" y="3543300"/>
          <a:ext cx="1628775" cy="228600"/>
        </a:xfrm>
        <a:prstGeom prst="rect">
          <a:avLst/>
        </a:prstGeom>
        <a:noFill/>
        <a:ln w="9525">
          <a:noFill/>
          <a:miter lim="800000"/>
          <a:headEnd/>
          <a:tailEnd/>
        </a:ln>
      </xdr:spPr>
    </xdr:pic>
    <xdr:clientData/>
  </xdr:twoCellAnchor>
  <xdr:twoCellAnchor>
    <xdr:from>
      <xdr:col>11</xdr:col>
      <xdr:colOff>485775</xdr:colOff>
      <xdr:row>21</xdr:row>
      <xdr:rowOff>9525</xdr:rowOff>
    </xdr:from>
    <xdr:to>
      <xdr:col>14</xdr:col>
      <xdr:colOff>457200</xdr:colOff>
      <xdr:row>22</xdr:row>
      <xdr:rowOff>180975</xdr:rowOff>
    </xdr:to>
    <xdr:pic>
      <xdr:nvPicPr>
        <xdr:cNvPr id="22532" name="Picture 2"/>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9677400" y="4086225"/>
          <a:ext cx="1800225" cy="361950"/>
        </a:xfrm>
        <a:prstGeom prst="rect">
          <a:avLst/>
        </a:prstGeom>
        <a:noFill/>
        <a:ln w="9525">
          <a:noFill/>
          <a:miter lim="800000"/>
          <a:headEnd/>
          <a:tailEnd/>
        </a:ln>
      </xdr:spPr>
    </xdr:pic>
    <xdr:clientData/>
  </xdr:twoCellAnchor>
  <xdr:twoCellAnchor>
    <xdr:from>
      <xdr:col>12</xdr:col>
      <xdr:colOff>85725</xdr:colOff>
      <xdr:row>25</xdr:row>
      <xdr:rowOff>47625</xdr:rowOff>
    </xdr:from>
    <xdr:to>
      <xdr:col>14</xdr:col>
      <xdr:colOff>485775</xdr:colOff>
      <xdr:row>27</xdr:row>
      <xdr:rowOff>28575</xdr:rowOff>
    </xdr:to>
    <xdr:pic>
      <xdr:nvPicPr>
        <xdr:cNvPr id="22533" name="Picture 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9886950" y="4953000"/>
          <a:ext cx="1619250" cy="438150"/>
        </a:xfrm>
        <a:prstGeom prst="rect">
          <a:avLst/>
        </a:prstGeom>
        <a:noFill/>
        <a:ln w="9525">
          <a:noFill/>
          <a:miter lim="800000"/>
          <a:headEnd/>
          <a:tailEnd/>
        </a:ln>
      </xdr:spPr>
    </xdr:pic>
    <xdr:clientData/>
  </xdr:twoCellAnchor>
  <xdr:twoCellAnchor editAs="oneCell">
    <xdr:from>
      <xdr:col>7</xdr:col>
      <xdr:colOff>476250</xdr:colOff>
      <xdr:row>33</xdr:row>
      <xdr:rowOff>133350</xdr:rowOff>
    </xdr:from>
    <xdr:to>
      <xdr:col>16</xdr:col>
      <xdr:colOff>228600</xdr:colOff>
      <xdr:row>45</xdr:row>
      <xdr:rowOff>66675</xdr:rowOff>
    </xdr:to>
    <xdr:pic>
      <xdr:nvPicPr>
        <xdr:cNvPr id="22534" name="Immagine 6" descr="Disposizione"/>
        <xdr:cNvPicPr>
          <a:picLocks noChangeAspect="1" noChangeArrowheads="1"/>
        </xdr:cNvPicPr>
      </xdr:nvPicPr>
      <xdr:blipFill>
        <a:blip xmlns:r="http://schemas.openxmlformats.org/officeDocument/2006/relationships" r:embed="rId6" cstate="print"/>
        <a:srcRect/>
        <a:stretch>
          <a:fillRect/>
        </a:stretch>
      </xdr:blipFill>
      <xdr:spPr bwMode="auto">
        <a:xfrm>
          <a:off x="7229475" y="6677025"/>
          <a:ext cx="5238750" cy="2219325"/>
        </a:xfrm>
        <a:prstGeom prst="rect">
          <a:avLst/>
        </a:prstGeom>
        <a:noFill/>
        <a:ln w="6350">
          <a:solidFill>
            <a:srgbClr val="000000"/>
          </a:solidFill>
          <a:miter lim="800000"/>
          <a:headEnd/>
          <a:tailEnd/>
        </a:ln>
      </xdr:spPr>
    </xdr:pic>
    <xdr:clientData/>
  </xdr:twoCellAnchor>
  <xdr:twoCellAnchor editAs="oneCell">
    <xdr:from>
      <xdr:col>0</xdr:col>
      <xdr:colOff>381000</xdr:colOff>
      <xdr:row>32</xdr:row>
      <xdr:rowOff>47625</xdr:rowOff>
    </xdr:from>
    <xdr:to>
      <xdr:col>4</xdr:col>
      <xdr:colOff>600075</xdr:colOff>
      <xdr:row>47</xdr:row>
      <xdr:rowOff>38100</xdr:rowOff>
    </xdr:to>
    <xdr:pic>
      <xdr:nvPicPr>
        <xdr:cNvPr id="22535" name="Immagine 1"/>
        <xdr:cNvPicPr>
          <a:picLocks noChangeAspect="1" noChangeArrowheads="1"/>
        </xdr:cNvPicPr>
      </xdr:nvPicPr>
      <xdr:blipFill>
        <a:blip xmlns:r="http://schemas.openxmlformats.org/officeDocument/2006/relationships" r:embed="rId7" cstate="print"/>
        <a:srcRect/>
        <a:stretch>
          <a:fillRect/>
        </a:stretch>
      </xdr:blipFill>
      <xdr:spPr bwMode="auto">
        <a:xfrm>
          <a:off x="381000" y="6400800"/>
          <a:ext cx="5143500" cy="2847975"/>
        </a:xfrm>
        <a:prstGeom prst="rect">
          <a:avLst/>
        </a:prstGeom>
        <a:noFill/>
        <a:ln w="9525">
          <a:noFill/>
          <a:miter lim="800000"/>
          <a:headEnd/>
          <a:tailEnd/>
        </a:ln>
      </xdr:spPr>
    </xdr:pic>
    <xdr:clientData/>
  </xdr:twoCellAnchor>
  <xdr:twoCellAnchor>
    <xdr:from>
      <xdr:col>0</xdr:col>
      <xdr:colOff>200025</xdr:colOff>
      <xdr:row>40</xdr:row>
      <xdr:rowOff>123825</xdr:rowOff>
    </xdr:from>
    <xdr:to>
      <xdr:col>5</xdr:col>
      <xdr:colOff>361950</xdr:colOff>
      <xdr:row>41</xdr:row>
      <xdr:rowOff>142875</xdr:rowOff>
    </xdr:to>
    <xdr:sp macro="" textlink="">
      <xdr:nvSpPr>
        <xdr:cNvPr id="22536" name="Rectangle 22"/>
        <xdr:cNvSpPr>
          <a:spLocks noChangeArrowheads="1"/>
        </xdr:cNvSpPr>
      </xdr:nvSpPr>
      <xdr:spPr bwMode="auto">
        <a:xfrm>
          <a:off x="200025" y="8001000"/>
          <a:ext cx="5695950" cy="209550"/>
        </a:xfrm>
        <a:prstGeom prst="rect">
          <a:avLst/>
        </a:prstGeom>
        <a:solidFill>
          <a:srgbClr val="FF9900">
            <a:alpha val="10980"/>
          </a:srgbClr>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104775</xdr:colOff>
      <xdr:row>4</xdr:row>
      <xdr:rowOff>95250</xdr:rowOff>
    </xdr:from>
    <xdr:to>
      <xdr:col>9</xdr:col>
      <xdr:colOff>476250</xdr:colOff>
      <xdr:row>12</xdr:row>
      <xdr:rowOff>180975</xdr:rowOff>
    </xdr:to>
    <xdr:pic>
      <xdr:nvPicPr>
        <xdr:cNvPr id="2355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001125" y="857250"/>
          <a:ext cx="3286125" cy="1762125"/>
        </a:xfrm>
        <a:prstGeom prst="rect">
          <a:avLst/>
        </a:prstGeom>
        <a:solidFill>
          <a:srgbClr val="FF9900"/>
        </a:solidFill>
        <a:ln w="9525">
          <a:noFill/>
          <a:miter lim="800000"/>
          <a:headEnd/>
          <a:tailEnd/>
        </a:ln>
      </xdr:spPr>
    </xdr:pic>
    <xdr:clientData/>
  </xdr:twoCellAnchor>
  <xdr:twoCellAnchor>
    <xdr:from>
      <xdr:col>2</xdr:col>
      <xdr:colOff>1543050</xdr:colOff>
      <xdr:row>10</xdr:row>
      <xdr:rowOff>28575</xdr:rowOff>
    </xdr:from>
    <xdr:to>
      <xdr:col>2</xdr:col>
      <xdr:colOff>4857750</xdr:colOff>
      <xdr:row>10</xdr:row>
      <xdr:rowOff>209550</xdr:rowOff>
    </xdr:to>
    <xdr:pic>
      <xdr:nvPicPr>
        <xdr:cNvPr id="23554" name="Picture 261"/>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2143125" y="2124075"/>
          <a:ext cx="3314700" cy="1809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323850</xdr:colOff>
      <xdr:row>23</xdr:row>
      <xdr:rowOff>190500</xdr:rowOff>
    </xdr:from>
    <xdr:to>
      <xdr:col>10</xdr:col>
      <xdr:colOff>571500</xdr:colOff>
      <xdr:row>26</xdr:row>
      <xdr:rowOff>114300</xdr:rowOff>
    </xdr:to>
    <xdr:pic>
      <xdr:nvPicPr>
        <xdr:cNvPr id="15361"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972175" y="5162550"/>
          <a:ext cx="3000375" cy="504825"/>
        </a:xfrm>
        <a:prstGeom prst="rect">
          <a:avLst/>
        </a:prstGeom>
        <a:noFill/>
        <a:ln w="9525">
          <a:noFill/>
          <a:miter lim="800000"/>
          <a:headEnd/>
          <a:tailEnd/>
        </a:ln>
      </xdr:spPr>
    </xdr:pic>
    <xdr:clientData/>
  </xdr:twoCellAnchor>
  <xdr:twoCellAnchor>
    <xdr:from>
      <xdr:col>6</xdr:col>
      <xdr:colOff>238125</xdr:colOff>
      <xdr:row>17</xdr:row>
      <xdr:rowOff>180975</xdr:rowOff>
    </xdr:from>
    <xdr:to>
      <xdr:col>7</xdr:col>
      <xdr:colOff>533400</xdr:colOff>
      <xdr:row>19</xdr:row>
      <xdr:rowOff>0</xdr:rowOff>
    </xdr:to>
    <xdr:pic>
      <xdr:nvPicPr>
        <xdr:cNvPr id="15362"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6276975" y="4000500"/>
          <a:ext cx="885825" cy="238125"/>
        </a:xfrm>
        <a:prstGeom prst="rect">
          <a:avLst/>
        </a:prstGeom>
        <a:noFill/>
        <a:ln w="9525">
          <a:noFill/>
          <a:miter lim="800000"/>
          <a:headEnd/>
          <a:tailEnd/>
        </a:ln>
      </xdr:spPr>
    </xdr:pic>
    <xdr:clientData/>
  </xdr:twoCellAnchor>
  <xdr:twoCellAnchor>
    <xdr:from>
      <xdr:col>5</xdr:col>
      <xdr:colOff>333375</xdr:colOff>
      <xdr:row>6</xdr:row>
      <xdr:rowOff>57150</xdr:rowOff>
    </xdr:from>
    <xdr:to>
      <xdr:col>9</xdr:col>
      <xdr:colOff>457200</xdr:colOff>
      <xdr:row>8</xdr:row>
      <xdr:rowOff>0</xdr:rowOff>
    </xdr:to>
    <xdr:pic>
      <xdr:nvPicPr>
        <xdr:cNvPr id="15363" name="Immagine 16" descr="fig_37_bischetti.jpg"/>
        <xdr:cNvPicPr>
          <a:picLocks noChangeAspect="1" noChangeArrowheads="1"/>
        </xdr:cNvPicPr>
      </xdr:nvPicPr>
      <xdr:blipFill>
        <a:blip xmlns:r="http://schemas.openxmlformats.org/officeDocument/2006/relationships" r:embed="rId3" cstate="print"/>
        <a:srcRect/>
        <a:stretch>
          <a:fillRect/>
        </a:stretch>
      </xdr:blipFill>
      <xdr:spPr bwMode="auto">
        <a:xfrm>
          <a:off x="5981700" y="1133475"/>
          <a:ext cx="2286000" cy="981075"/>
        </a:xfrm>
        <a:prstGeom prst="rect">
          <a:avLst/>
        </a:prstGeom>
        <a:noFill/>
        <a:ln w="9525">
          <a:noFill/>
          <a:miter lim="800000"/>
          <a:headEnd/>
          <a:tailEnd/>
        </a:ln>
      </xdr:spPr>
    </xdr:pic>
    <xdr:clientData/>
  </xdr:twoCellAnchor>
  <xdr:twoCellAnchor>
    <xdr:from>
      <xdr:col>9</xdr:col>
      <xdr:colOff>47625</xdr:colOff>
      <xdr:row>8</xdr:row>
      <xdr:rowOff>104775</xdr:rowOff>
    </xdr:from>
    <xdr:to>
      <xdr:col>10</xdr:col>
      <xdr:colOff>2562225</xdr:colOff>
      <xdr:row>20</xdr:row>
      <xdr:rowOff>47625</xdr:rowOff>
    </xdr:to>
    <xdr:pic>
      <xdr:nvPicPr>
        <xdr:cNvPr id="15364" name="Immagine 10" descr="Fig_31_bischetti.jpg"/>
        <xdr:cNvPicPr>
          <a:picLocks noChangeAspect="1" noChangeArrowheads="1"/>
        </xdr:cNvPicPr>
      </xdr:nvPicPr>
      <xdr:blipFill>
        <a:blip xmlns:r="http://schemas.openxmlformats.org/officeDocument/2006/relationships" r:embed="rId4" cstate="print"/>
        <a:srcRect r="8449"/>
        <a:stretch>
          <a:fillRect/>
        </a:stretch>
      </xdr:blipFill>
      <xdr:spPr bwMode="auto">
        <a:xfrm>
          <a:off x="7858125" y="2219325"/>
          <a:ext cx="3105150" cy="2247900"/>
        </a:xfrm>
        <a:prstGeom prst="rect">
          <a:avLst/>
        </a:prstGeom>
        <a:noFill/>
        <a:ln w="9525">
          <a:noFill/>
          <a:miter lim="800000"/>
          <a:headEnd/>
          <a:tailEnd/>
        </a:ln>
      </xdr:spPr>
    </xdr:pic>
    <xdr:clientData/>
  </xdr:twoCellAnchor>
  <xdr:twoCellAnchor>
    <xdr:from>
      <xdr:col>3</xdr:col>
      <xdr:colOff>257175</xdr:colOff>
      <xdr:row>12</xdr:row>
      <xdr:rowOff>19050</xdr:rowOff>
    </xdr:from>
    <xdr:to>
      <xdr:col>3</xdr:col>
      <xdr:colOff>381000</xdr:colOff>
      <xdr:row>12</xdr:row>
      <xdr:rowOff>171450</xdr:rowOff>
    </xdr:to>
    <xdr:pic>
      <xdr:nvPicPr>
        <xdr:cNvPr id="15365" name="Picture 4"/>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4724400" y="2828925"/>
          <a:ext cx="123825" cy="152400"/>
        </a:xfrm>
        <a:prstGeom prst="rect">
          <a:avLst/>
        </a:prstGeom>
        <a:noFill/>
        <a:ln w="9525">
          <a:noFill/>
          <a:miter lim="800000"/>
          <a:headEnd/>
          <a:tailEnd/>
        </a:ln>
      </xdr:spPr>
    </xdr:pic>
    <xdr:clientData/>
  </xdr:twoCellAnchor>
  <xdr:twoCellAnchor>
    <xdr:from>
      <xdr:col>2</xdr:col>
      <xdr:colOff>333375</xdr:colOff>
      <xdr:row>21</xdr:row>
      <xdr:rowOff>0</xdr:rowOff>
    </xdr:from>
    <xdr:to>
      <xdr:col>2</xdr:col>
      <xdr:colOff>447675</xdr:colOff>
      <xdr:row>21</xdr:row>
      <xdr:rowOff>152400</xdr:rowOff>
    </xdr:to>
    <xdr:pic>
      <xdr:nvPicPr>
        <xdr:cNvPr id="15366" name="Picture 4"/>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1514475" y="4600575"/>
          <a:ext cx="114300" cy="152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133350</xdr:colOff>
      <xdr:row>52</xdr:row>
      <xdr:rowOff>47625</xdr:rowOff>
    </xdr:from>
    <xdr:to>
      <xdr:col>6</xdr:col>
      <xdr:colOff>466725</xdr:colOff>
      <xdr:row>54</xdr:row>
      <xdr:rowOff>161925</xdr:rowOff>
    </xdr:to>
    <xdr:pic>
      <xdr:nvPicPr>
        <xdr:cNvPr id="16385"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352550" y="10239375"/>
          <a:ext cx="5124450" cy="495300"/>
        </a:xfrm>
        <a:prstGeom prst="rect">
          <a:avLst/>
        </a:prstGeom>
        <a:noFill/>
        <a:ln w="9525">
          <a:noFill/>
          <a:miter lim="800000"/>
          <a:headEnd/>
          <a:tailEnd/>
        </a:ln>
      </xdr:spPr>
    </xdr:pic>
    <xdr:clientData/>
  </xdr:twoCellAnchor>
  <xdr:twoCellAnchor>
    <xdr:from>
      <xdr:col>7</xdr:col>
      <xdr:colOff>400050</xdr:colOff>
      <xdr:row>18</xdr:row>
      <xdr:rowOff>47625</xdr:rowOff>
    </xdr:from>
    <xdr:to>
      <xdr:col>7</xdr:col>
      <xdr:colOff>762000</xdr:colOff>
      <xdr:row>20</xdr:row>
      <xdr:rowOff>95250</xdr:rowOff>
    </xdr:to>
    <xdr:pic>
      <xdr:nvPicPr>
        <xdr:cNvPr id="16386" name="Picture 1"/>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7343775" y="3562350"/>
          <a:ext cx="361950" cy="428625"/>
        </a:xfrm>
        <a:prstGeom prst="rect">
          <a:avLst/>
        </a:prstGeom>
        <a:noFill/>
        <a:ln w="9525">
          <a:noFill/>
          <a:miter lim="800000"/>
          <a:headEnd/>
          <a:tailEnd/>
        </a:ln>
      </xdr:spPr>
    </xdr:pic>
    <xdr:clientData/>
  </xdr:twoCellAnchor>
  <xdr:twoCellAnchor>
    <xdr:from>
      <xdr:col>7</xdr:col>
      <xdr:colOff>66675</xdr:colOff>
      <xdr:row>15</xdr:row>
      <xdr:rowOff>114300</xdr:rowOff>
    </xdr:from>
    <xdr:to>
      <xdr:col>7</xdr:col>
      <xdr:colOff>1133475</xdr:colOff>
      <xdr:row>16</xdr:row>
      <xdr:rowOff>104775</xdr:rowOff>
    </xdr:to>
    <xdr:pic>
      <xdr:nvPicPr>
        <xdr:cNvPr id="16387" name="Picture 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7010400" y="3057525"/>
          <a:ext cx="1066800" cy="180975"/>
        </a:xfrm>
        <a:prstGeom prst="rect">
          <a:avLst/>
        </a:prstGeom>
        <a:noFill/>
        <a:ln w="9525">
          <a:noFill/>
          <a:miter lim="800000"/>
          <a:headEnd/>
          <a:tailEnd/>
        </a:ln>
      </xdr:spPr>
    </xdr:pic>
    <xdr:clientData/>
  </xdr:twoCellAnchor>
  <xdr:twoCellAnchor>
    <xdr:from>
      <xdr:col>8</xdr:col>
      <xdr:colOff>495300</xdr:colOff>
      <xdr:row>8</xdr:row>
      <xdr:rowOff>114300</xdr:rowOff>
    </xdr:from>
    <xdr:to>
      <xdr:col>13</xdr:col>
      <xdr:colOff>266700</xdr:colOff>
      <xdr:row>23</xdr:row>
      <xdr:rowOff>57150</xdr:rowOff>
    </xdr:to>
    <xdr:grpSp>
      <xdr:nvGrpSpPr>
        <xdr:cNvPr id="16388" name="Gruppo 57"/>
        <xdr:cNvGrpSpPr>
          <a:grpSpLocks/>
        </xdr:cNvGrpSpPr>
      </xdr:nvGrpSpPr>
      <xdr:grpSpPr bwMode="auto">
        <a:xfrm>
          <a:off x="8639175" y="1647825"/>
          <a:ext cx="2876550" cy="2886075"/>
          <a:chOff x="5364165" y="476249"/>
          <a:chExt cx="3095625" cy="2881318"/>
        </a:xfrm>
      </xdr:grpSpPr>
      <xdr:grpSp>
        <xdr:nvGrpSpPr>
          <xdr:cNvPr id="16389" name="Group 216"/>
          <xdr:cNvGrpSpPr>
            <a:grpSpLocks/>
          </xdr:cNvGrpSpPr>
        </xdr:nvGrpSpPr>
        <xdr:grpSpPr bwMode="auto">
          <a:xfrm>
            <a:off x="5795963" y="476249"/>
            <a:ext cx="2663827" cy="2593978"/>
            <a:chOff x="0" y="73"/>
            <a:chExt cx="2064" cy="1906"/>
          </a:xfrm>
        </xdr:grpSpPr>
        <xdr:grpSp>
          <xdr:nvGrpSpPr>
            <xdr:cNvPr id="16393" name="Group 217"/>
            <xdr:cNvGrpSpPr>
              <a:grpSpLocks/>
            </xdr:cNvGrpSpPr>
          </xdr:nvGrpSpPr>
          <xdr:grpSpPr bwMode="auto">
            <a:xfrm>
              <a:off x="522" y="300"/>
              <a:ext cx="1179" cy="364"/>
              <a:chOff x="1973" y="799"/>
              <a:chExt cx="1179" cy="364"/>
            </a:xfrm>
          </xdr:grpSpPr>
          <xdr:grpSp>
            <xdr:nvGrpSpPr>
              <xdr:cNvPr id="16436" name="Group 218"/>
              <xdr:cNvGrpSpPr>
                <a:grpSpLocks/>
              </xdr:cNvGrpSpPr>
            </xdr:nvGrpSpPr>
            <xdr:grpSpPr bwMode="auto">
              <a:xfrm rot="454658">
                <a:off x="1973" y="799"/>
                <a:ext cx="1179" cy="136"/>
                <a:chOff x="1973" y="799"/>
                <a:chExt cx="1179" cy="136"/>
              </a:xfrm>
            </xdr:grpSpPr>
            <xdr:sp macro="" textlink="">
              <xdr:nvSpPr>
                <xdr:cNvPr id="16439" name="Line 219"/>
                <xdr:cNvSpPr>
                  <a:spLocks noChangeShapeType="1"/>
                </xdr:cNvSpPr>
              </xdr:nvSpPr>
              <xdr:spPr bwMode="auto">
                <a:xfrm>
                  <a:off x="1973" y="799"/>
                  <a:ext cx="1179" cy="0"/>
                </a:xfrm>
                <a:prstGeom prst="line">
                  <a:avLst/>
                </a:prstGeom>
                <a:noFill/>
                <a:ln w="9525">
                  <a:solidFill>
                    <a:srgbClr val="000000"/>
                  </a:solidFill>
                  <a:round/>
                  <a:headEnd/>
                  <a:tailEnd/>
                </a:ln>
              </xdr:spPr>
            </xdr:sp>
            <xdr:sp macro="" textlink="">
              <xdr:nvSpPr>
                <xdr:cNvPr id="16440" name="Line 220"/>
                <xdr:cNvSpPr>
                  <a:spLocks noChangeShapeType="1"/>
                </xdr:cNvSpPr>
              </xdr:nvSpPr>
              <xdr:spPr bwMode="auto">
                <a:xfrm>
                  <a:off x="1973" y="935"/>
                  <a:ext cx="1179" cy="0"/>
                </a:xfrm>
                <a:prstGeom prst="line">
                  <a:avLst/>
                </a:prstGeom>
                <a:noFill/>
                <a:ln w="9525">
                  <a:solidFill>
                    <a:srgbClr val="000000"/>
                  </a:solidFill>
                  <a:round/>
                  <a:headEnd/>
                  <a:tailEnd/>
                </a:ln>
              </xdr:spPr>
            </xdr:sp>
            <xdr:sp macro="" textlink="">
              <xdr:nvSpPr>
                <xdr:cNvPr id="16441" name="Line 221"/>
                <xdr:cNvSpPr>
                  <a:spLocks noChangeShapeType="1"/>
                </xdr:cNvSpPr>
              </xdr:nvSpPr>
              <xdr:spPr bwMode="auto">
                <a:xfrm>
                  <a:off x="1973" y="799"/>
                  <a:ext cx="0" cy="136"/>
                </a:xfrm>
                <a:prstGeom prst="line">
                  <a:avLst/>
                </a:prstGeom>
                <a:noFill/>
                <a:ln w="9525">
                  <a:solidFill>
                    <a:srgbClr val="000000"/>
                  </a:solidFill>
                  <a:round/>
                  <a:headEnd/>
                  <a:tailEnd/>
                </a:ln>
              </xdr:spPr>
            </xdr:sp>
            <xdr:sp macro="" textlink="">
              <xdr:nvSpPr>
                <xdr:cNvPr id="16442" name="Line 222"/>
                <xdr:cNvSpPr>
                  <a:spLocks noChangeShapeType="1"/>
                </xdr:cNvSpPr>
              </xdr:nvSpPr>
              <xdr:spPr bwMode="auto">
                <a:xfrm flipH="1">
                  <a:off x="3152" y="799"/>
                  <a:ext cx="0" cy="136"/>
                </a:xfrm>
                <a:prstGeom prst="line">
                  <a:avLst/>
                </a:prstGeom>
                <a:noFill/>
                <a:ln w="9525">
                  <a:solidFill>
                    <a:srgbClr val="000000"/>
                  </a:solidFill>
                  <a:round/>
                  <a:headEnd/>
                  <a:tailEnd/>
                </a:ln>
              </xdr:spPr>
            </xdr:sp>
          </xdr:grpSp>
          <xdr:sp macro="" textlink="">
            <xdr:nvSpPr>
              <xdr:cNvPr id="16437" name="Oval 223"/>
              <xdr:cNvSpPr>
                <a:spLocks noChangeArrowheads="1"/>
              </xdr:cNvSpPr>
            </xdr:nvSpPr>
            <xdr:spPr bwMode="auto">
              <a:xfrm>
                <a:off x="2064" y="891"/>
                <a:ext cx="181" cy="181"/>
              </a:xfrm>
              <a:prstGeom prst="ellipse">
                <a:avLst/>
              </a:prstGeom>
              <a:solidFill>
                <a:srgbClr val="996633"/>
              </a:solidFill>
              <a:ln w="9525">
                <a:solidFill>
                  <a:srgbClr val="000000"/>
                </a:solidFill>
                <a:round/>
                <a:headEnd/>
                <a:tailEnd/>
              </a:ln>
            </xdr:spPr>
          </xdr:sp>
          <xdr:sp macro="" textlink="">
            <xdr:nvSpPr>
              <xdr:cNvPr id="16438" name="Oval 224"/>
              <xdr:cNvSpPr>
                <a:spLocks noChangeArrowheads="1"/>
              </xdr:cNvSpPr>
            </xdr:nvSpPr>
            <xdr:spPr bwMode="auto">
              <a:xfrm>
                <a:off x="2880" y="982"/>
                <a:ext cx="181" cy="181"/>
              </a:xfrm>
              <a:prstGeom prst="ellipse">
                <a:avLst/>
              </a:prstGeom>
              <a:solidFill>
                <a:srgbClr val="996633"/>
              </a:solidFill>
              <a:ln w="9525">
                <a:solidFill>
                  <a:srgbClr val="000000"/>
                </a:solidFill>
                <a:round/>
                <a:headEnd/>
                <a:tailEnd/>
              </a:ln>
            </xdr:spPr>
          </xdr:sp>
        </xdr:grpSp>
        <xdr:grpSp>
          <xdr:nvGrpSpPr>
            <xdr:cNvPr id="16394" name="Group 225"/>
            <xdr:cNvGrpSpPr>
              <a:grpSpLocks/>
            </xdr:cNvGrpSpPr>
          </xdr:nvGrpSpPr>
          <xdr:grpSpPr bwMode="auto">
            <a:xfrm>
              <a:off x="477" y="618"/>
              <a:ext cx="1179" cy="364"/>
              <a:chOff x="1973" y="799"/>
              <a:chExt cx="1179" cy="364"/>
            </a:xfrm>
          </xdr:grpSpPr>
          <xdr:grpSp>
            <xdr:nvGrpSpPr>
              <xdr:cNvPr id="16429" name="Group 226"/>
              <xdr:cNvGrpSpPr>
                <a:grpSpLocks/>
              </xdr:cNvGrpSpPr>
            </xdr:nvGrpSpPr>
            <xdr:grpSpPr bwMode="auto">
              <a:xfrm rot="454658">
                <a:off x="1973" y="799"/>
                <a:ext cx="1179" cy="136"/>
                <a:chOff x="1973" y="799"/>
                <a:chExt cx="1179" cy="136"/>
              </a:xfrm>
            </xdr:grpSpPr>
            <xdr:sp macro="" textlink="">
              <xdr:nvSpPr>
                <xdr:cNvPr id="16432" name="Line 227"/>
                <xdr:cNvSpPr>
                  <a:spLocks noChangeShapeType="1"/>
                </xdr:cNvSpPr>
              </xdr:nvSpPr>
              <xdr:spPr bwMode="auto">
                <a:xfrm>
                  <a:off x="1973" y="799"/>
                  <a:ext cx="1179" cy="0"/>
                </a:xfrm>
                <a:prstGeom prst="line">
                  <a:avLst/>
                </a:prstGeom>
                <a:noFill/>
                <a:ln w="9525">
                  <a:solidFill>
                    <a:srgbClr val="000000"/>
                  </a:solidFill>
                  <a:round/>
                  <a:headEnd/>
                  <a:tailEnd/>
                </a:ln>
              </xdr:spPr>
            </xdr:sp>
            <xdr:sp macro="" textlink="">
              <xdr:nvSpPr>
                <xdr:cNvPr id="16433" name="Line 228"/>
                <xdr:cNvSpPr>
                  <a:spLocks noChangeShapeType="1"/>
                </xdr:cNvSpPr>
              </xdr:nvSpPr>
              <xdr:spPr bwMode="auto">
                <a:xfrm>
                  <a:off x="1973" y="935"/>
                  <a:ext cx="1179" cy="0"/>
                </a:xfrm>
                <a:prstGeom prst="line">
                  <a:avLst/>
                </a:prstGeom>
                <a:noFill/>
                <a:ln w="9525">
                  <a:solidFill>
                    <a:srgbClr val="000000"/>
                  </a:solidFill>
                  <a:round/>
                  <a:headEnd/>
                  <a:tailEnd/>
                </a:ln>
              </xdr:spPr>
            </xdr:sp>
            <xdr:sp macro="" textlink="">
              <xdr:nvSpPr>
                <xdr:cNvPr id="16434" name="Line 229"/>
                <xdr:cNvSpPr>
                  <a:spLocks noChangeShapeType="1"/>
                </xdr:cNvSpPr>
              </xdr:nvSpPr>
              <xdr:spPr bwMode="auto">
                <a:xfrm>
                  <a:off x="1973" y="799"/>
                  <a:ext cx="0" cy="136"/>
                </a:xfrm>
                <a:prstGeom prst="line">
                  <a:avLst/>
                </a:prstGeom>
                <a:noFill/>
                <a:ln w="9525">
                  <a:solidFill>
                    <a:srgbClr val="000000"/>
                  </a:solidFill>
                  <a:round/>
                  <a:headEnd/>
                  <a:tailEnd/>
                </a:ln>
              </xdr:spPr>
            </xdr:sp>
            <xdr:sp macro="" textlink="">
              <xdr:nvSpPr>
                <xdr:cNvPr id="16435" name="Line 230"/>
                <xdr:cNvSpPr>
                  <a:spLocks noChangeShapeType="1"/>
                </xdr:cNvSpPr>
              </xdr:nvSpPr>
              <xdr:spPr bwMode="auto">
                <a:xfrm flipH="1">
                  <a:off x="3152" y="799"/>
                  <a:ext cx="0" cy="136"/>
                </a:xfrm>
                <a:prstGeom prst="line">
                  <a:avLst/>
                </a:prstGeom>
                <a:noFill/>
                <a:ln w="9525">
                  <a:solidFill>
                    <a:srgbClr val="000000"/>
                  </a:solidFill>
                  <a:round/>
                  <a:headEnd/>
                  <a:tailEnd/>
                </a:ln>
              </xdr:spPr>
            </xdr:sp>
          </xdr:grpSp>
          <xdr:sp macro="" textlink="">
            <xdr:nvSpPr>
              <xdr:cNvPr id="16430" name="Oval 231"/>
              <xdr:cNvSpPr>
                <a:spLocks noChangeArrowheads="1"/>
              </xdr:cNvSpPr>
            </xdr:nvSpPr>
            <xdr:spPr bwMode="auto">
              <a:xfrm>
                <a:off x="2064" y="891"/>
                <a:ext cx="181" cy="181"/>
              </a:xfrm>
              <a:prstGeom prst="ellipse">
                <a:avLst/>
              </a:prstGeom>
              <a:solidFill>
                <a:srgbClr val="996633"/>
              </a:solidFill>
              <a:ln w="9525">
                <a:solidFill>
                  <a:srgbClr val="000000"/>
                </a:solidFill>
                <a:round/>
                <a:headEnd/>
                <a:tailEnd/>
              </a:ln>
            </xdr:spPr>
          </xdr:sp>
          <xdr:sp macro="" textlink="">
            <xdr:nvSpPr>
              <xdr:cNvPr id="16431" name="Oval 232"/>
              <xdr:cNvSpPr>
                <a:spLocks noChangeArrowheads="1"/>
              </xdr:cNvSpPr>
            </xdr:nvSpPr>
            <xdr:spPr bwMode="auto">
              <a:xfrm>
                <a:off x="2880" y="982"/>
                <a:ext cx="181" cy="181"/>
              </a:xfrm>
              <a:prstGeom prst="ellipse">
                <a:avLst/>
              </a:prstGeom>
              <a:solidFill>
                <a:srgbClr val="996633"/>
              </a:solidFill>
              <a:ln w="9525">
                <a:solidFill>
                  <a:srgbClr val="000000"/>
                </a:solidFill>
                <a:round/>
                <a:headEnd/>
                <a:tailEnd/>
              </a:ln>
            </xdr:spPr>
          </xdr:sp>
        </xdr:grpSp>
        <xdr:grpSp>
          <xdr:nvGrpSpPr>
            <xdr:cNvPr id="16395" name="Group 233"/>
            <xdr:cNvGrpSpPr>
              <a:grpSpLocks/>
            </xdr:cNvGrpSpPr>
          </xdr:nvGrpSpPr>
          <xdr:grpSpPr bwMode="auto">
            <a:xfrm>
              <a:off x="431" y="935"/>
              <a:ext cx="1179" cy="364"/>
              <a:chOff x="1973" y="799"/>
              <a:chExt cx="1179" cy="364"/>
            </a:xfrm>
          </xdr:grpSpPr>
          <xdr:grpSp>
            <xdr:nvGrpSpPr>
              <xdr:cNvPr id="16422" name="Group 234"/>
              <xdr:cNvGrpSpPr>
                <a:grpSpLocks/>
              </xdr:cNvGrpSpPr>
            </xdr:nvGrpSpPr>
            <xdr:grpSpPr bwMode="auto">
              <a:xfrm rot="454658">
                <a:off x="1973" y="799"/>
                <a:ext cx="1179" cy="136"/>
                <a:chOff x="1973" y="799"/>
                <a:chExt cx="1179" cy="136"/>
              </a:xfrm>
            </xdr:grpSpPr>
            <xdr:sp macro="" textlink="">
              <xdr:nvSpPr>
                <xdr:cNvPr id="16425" name="Line 235"/>
                <xdr:cNvSpPr>
                  <a:spLocks noChangeShapeType="1"/>
                </xdr:cNvSpPr>
              </xdr:nvSpPr>
              <xdr:spPr bwMode="auto">
                <a:xfrm>
                  <a:off x="1973" y="799"/>
                  <a:ext cx="1179" cy="0"/>
                </a:xfrm>
                <a:prstGeom prst="line">
                  <a:avLst/>
                </a:prstGeom>
                <a:noFill/>
                <a:ln w="9525">
                  <a:solidFill>
                    <a:srgbClr val="000000"/>
                  </a:solidFill>
                  <a:round/>
                  <a:headEnd/>
                  <a:tailEnd/>
                </a:ln>
              </xdr:spPr>
            </xdr:sp>
            <xdr:sp macro="" textlink="">
              <xdr:nvSpPr>
                <xdr:cNvPr id="16426" name="Line 236"/>
                <xdr:cNvSpPr>
                  <a:spLocks noChangeShapeType="1"/>
                </xdr:cNvSpPr>
              </xdr:nvSpPr>
              <xdr:spPr bwMode="auto">
                <a:xfrm>
                  <a:off x="1973" y="935"/>
                  <a:ext cx="1179" cy="0"/>
                </a:xfrm>
                <a:prstGeom prst="line">
                  <a:avLst/>
                </a:prstGeom>
                <a:noFill/>
                <a:ln w="9525">
                  <a:solidFill>
                    <a:srgbClr val="000000"/>
                  </a:solidFill>
                  <a:round/>
                  <a:headEnd/>
                  <a:tailEnd/>
                </a:ln>
              </xdr:spPr>
            </xdr:sp>
            <xdr:sp macro="" textlink="">
              <xdr:nvSpPr>
                <xdr:cNvPr id="16427" name="Line 237"/>
                <xdr:cNvSpPr>
                  <a:spLocks noChangeShapeType="1"/>
                </xdr:cNvSpPr>
              </xdr:nvSpPr>
              <xdr:spPr bwMode="auto">
                <a:xfrm>
                  <a:off x="1973" y="799"/>
                  <a:ext cx="0" cy="136"/>
                </a:xfrm>
                <a:prstGeom prst="line">
                  <a:avLst/>
                </a:prstGeom>
                <a:noFill/>
                <a:ln w="9525">
                  <a:solidFill>
                    <a:srgbClr val="000000"/>
                  </a:solidFill>
                  <a:round/>
                  <a:headEnd/>
                  <a:tailEnd/>
                </a:ln>
              </xdr:spPr>
            </xdr:sp>
            <xdr:sp macro="" textlink="">
              <xdr:nvSpPr>
                <xdr:cNvPr id="16428" name="Line 238"/>
                <xdr:cNvSpPr>
                  <a:spLocks noChangeShapeType="1"/>
                </xdr:cNvSpPr>
              </xdr:nvSpPr>
              <xdr:spPr bwMode="auto">
                <a:xfrm flipH="1">
                  <a:off x="3152" y="799"/>
                  <a:ext cx="0" cy="136"/>
                </a:xfrm>
                <a:prstGeom prst="line">
                  <a:avLst/>
                </a:prstGeom>
                <a:noFill/>
                <a:ln w="9525">
                  <a:solidFill>
                    <a:srgbClr val="000000"/>
                  </a:solidFill>
                  <a:round/>
                  <a:headEnd/>
                  <a:tailEnd/>
                </a:ln>
              </xdr:spPr>
            </xdr:sp>
          </xdr:grpSp>
          <xdr:sp macro="" textlink="">
            <xdr:nvSpPr>
              <xdr:cNvPr id="16423" name="Oval 239"/>
              <xdr:cNvSpPr>
                <a:spLocks noChangeArrowheads="1"/>
              </xdr:cNvSpPr>
            </xdr:nvSpPr>
            <xdr:spPr bwMode="auto">
              <a:xfrm>
                <a:off x="2064" y="891"/>
                <a:ext cx="181" cy="181"/>
              </a:xfrm>
              <a:prstGeom prst="ellipse">
                <a:avLst/>
              </a:prstGeom>
              <a:solidFill>
                <a:srgbClr val="996633"/>
              </a:solidFill>
              <a:ln w="9525">
                <a:solidFill>
                  <a:srgbClr val="000000"/>
                </a:solidFill>
                <a:round/>
                <a:headEnd/>
                <a:tailEnd/>
              </a:ln>
            </xdr:spPr>
          </xdr:sp>
          <xdr:sp macro="" textlink="">
            <xdr:nvSpPr>
              <xdr:cNvPr id="16424" name="Oval 240"/>
              <xdr:cNvSpPr>
                <a:spLocks noChangeArrowheads="1"/>
              </xdr:cNvSpPr>
            </xdr:nvSpPr>
            <xdr:spPr bwMode="auto">
              <a:xfrm>
                <a:off x="2880" y="982"/>
                <a:ext cx="181" cy="181"/>
              </a:xfrm>
              <a:prstGeom prst="ellipse">
                <a:avLst/>
              </a:prstGeom>
              <a:solidFill>
                <a:srgbClr val="996633"/>
              </a:solidFill>
              <a:ln w="9525">
                <a:solidFill>
                  <a:srgbClr val="000000"/>
                </a:solidFill>
                <a:round/>
                <a:headEnd/>
                <a:tailEnd/>
              </a:ln>
            </xdr:spPr>
          </xdr:sp>
        </xdr:grpSp>
        <xdr:sp macro="" textlink="">
          <xdr:nvSpPr>
            <xdr:cNvPr id="16396" name="Line 241"/>
            <xdr:cNvSpPr>
              <a:spLocks noChangeShapeType="1"/>
            </xdr:cNvSpPr>
          </xdr:nvSpPr>
          <xdr:spPr bwMode="auto">
            <a:xfrm rot="454658">
              <a:off x="402" y="1254"/>
              <a:ext cx="1179" cy="0"/>
            </a:xfrm>
            <a:prstGeom prst="line">
              <a:avLst/>
            </a:prstGeom>
            <a:noFill/>
            <a:ln w="9525">
              <a:solidFill>
                <a:srgbClr val="000000"/>
              </a:solidFill>
              <a:round/>
              <a:headEnd/>
              <a:tailEnd/>
            </a:ln>
          </xdr:spPr>
        </xdr:sp>
        <xdr:sp macro="" textlink="">
          <xdr:nvSpPr>
            <xdr:cNvPr id="16397" name="Line 242"/>
            <xdr:cNvSpPr>
              <a:spLocks noChangeShapeType="1"/>
            </xdr:cNvSpPr>
          </xdr:nvSpPr>
          <xdr:spPr bwMode="auto">
            <a:xfrm rot="454658">
              <a:off x="385" y="1389"/>
              <a:ext cx="1179" cy="0"/>
            </a:xfrm>
            <a:prstGeom prst="line">
              <a:avLst/>
            </a:prstGeom>
            <a:noFill/>
            <a:ln w="9525">
              <a:solidFill>
                <a:srgbClr val="000000"/>
              </a:solidFill>
              <a:round/>
              <a:headEnd/>
              <a:tailEnd/>
            </a:ln>
          </xdr:spPr>
        </xdr:sp>
        <xdr:sp macro="" textlink="">
          <xdr:nvSpPr>
            <xdr:cNvPr id="16398" name="Line 243"/>
            <xdr:cNvSpPr>
              <a:spLocks noChangeShapeType="1"/>
            </xdr:cNvSpPr>
          </xdr:nvSpPr>
          <xdr:spPr bwMode="auto">
            <a:xfrm rot="454658">
              <a:off x="399" y="1176"/>
              <a:ext cx="0" cy="136"/>
            </a:xfrm>
            <a:prstGeom prst="line">
              <a:avLst/>
            </a:prstGeom>
            <a:noFill/>
            <a:ln w="9525">
              <a:solidFill>
                <a:srgbClr val="000000"/>
              </a:solidFill>
              <a:round/>
              <a:headEnd/>
              <a:tailEnd/>
            </a:ln>
          </xdr:spPr>
        </xdr:sp>
        <xdr:sp macro="" textlink="">
          <xdr:nvSpPr>
            <xdr:cNvPr id="16399" name="Line 244"/>
            <xdr:cNvSpPr>
              <a:spLocks noChangeShapeType="1"/>
            </xdr:cNvSpPr>
          </xdr:nvSpPr>
          <xdr:spPr bwMode="auto">
            <a:xfrm rot="454658" flipH="1">
              <a:off x="1567" y="1331"/>
              <a:ext cx="0" cy="136"/>
            </a:xfrm>
            <a:prstGeom prst="line">
              <a:avLst/>
            </a:prstGeom>
            <a:noFill/>
            <a:ln w="9525">
              <a:solidFill>
                <a:srgbClr val="000000"/>
              </a:solidFill>
              <a:round/>
              <a:headEnd/>
              <a:tailEnd/>
            </a:ln>
          </xdr:spPr>
        </xdr:sp>
        <xdr:sp macro="" textlink="">
          <xdr:nvSpPr>
            <xdr:cNvPr id="16400" name="Oval 245"/>
            <xdr:cNvSpPr>
              <a:spLocks noChangeArrowheads="1"/>
            </xdr:cNvSpPr>
          </xdr:nvSpPr>
          <xdr:spPr bwMode="auto">
            <a:xfrm>
              <a:off x="476" y="1345"/>
              <a:ext cx="181" cy="181"/>
            </a:xfrm>
            <a:prstGeom prst="ellipse">
              <a:avLst/>
            </a:prstGeom>
            <a:solidFill>
              <a:srgbClr val="996633"/>
            </a:solidFill>
            <a:ln w="9525">
              <a:solidFill>
                <a:srgbClr val="000000"/>
              </a:solidFill>
              <a:round/>
              <a:headEnd/>
              <a:tailEnd/>
            </a:ln>
          </xdr:spPr>
        </xdr:sp>
        <xdr:sp macro="" textlink="">
          <xdr:nvSpPr>
            <xdr:cNvPr id="16401" name="Oval 246"/>
            <xdr:cNvSpPr>
              <a:spLocks noChangeArrowheads="1"/>
            </xdr:cNvSpPr>
          </xdr:nvSpPr>
          <xdr:spPr bwMode="auto">
            <a:xfrm>
              <a:off x="1292" y="1436"/>
              <a:ext cx="181" cy="181"/>
            </a:xfrm>
            <a:prstGeom prst="ellipse">
              <a:avLst/>
            </a:prstGeom>
            <a:solidFill>
              <a:srgbClr val="996633"/>
            </a:solidFill>
            <a:ln w="9525">
              <a:solidFill>
                <a:srgbClr val="000000"/>
              </a:solidFill>
              <a:round/>
              <a:headEnd/>
              <a:tailEnd/>
            </a:ln>
          </xdr:spPr>
        </xdr:sp>
        <xdr:grpSp>
          <xdr:nvGrpSpPr>
            <xdr:cNvPr id="16402" name="Group 247"/>
            <xdr:cNvGrpSpPr>
              <a:grpSpLocks/>
            </xdr:cNvGrpSpPr>
          </xdr:nvGrpSpPr>
          <xdr:grpSpPr bwMode="auto">
            <a:xfrm rot="454658">
              <a:off x="340" y="1570"/>
              <a:ext cx="1179" cy="136"/>
              <a:chOff x="1973" y="799"/>
              <a:chExt cx="1179" cy="136"/>
            </a:xfrm>
          </xdr:grpSpPr>
          <xdr:sp macro="" textlink="">
            <xdr:nvSpPr>
              <xdr:cNvPr id="16418" name="Line 248"/>
              <xdr:cNvSpPr>
                <a:spLocks noChangeShapeType="1"/>
              </xdr:cNvSpPr>
            </xdr:nvSpPr>
            <xdr:spPr bwMode="auto">
              <a:xfrm>
                <a:off x="1973" y="799"/>
                <a:ext cx="1179" cy="0"/>
              </a:xfrm>
              <a:prstGeom prst="line">
                <a:avLst/>
              </a:prstGeom>
              <a:noFill/>
              <a:ln w="28575">
                <a:solidFill>
                  <a:srgbClr val="996633"/>
                </a:solidFill>
                <a:round/>
                <a:headEnd/>
                <a:tailEnd/>
              </a:ln>
            </xdr:spPr>
          </xdr:sp>
          <xdr:sp macro="" textlink="">
            <xdr:nvSpPr>
              <xdr:cNvPr id="16419" name="Line 249"/>
              <xdr:cNvSpPr>
                <a:spLocks noChangeShapeType="1"/>
              </xdr:cNvSpPr>
            </xdr:nvSpPr>
            <xdr:spPr bwMode="auto">
              <a:xfrm>
                <a:off x="1973" y="935"/>
                <a:ext cx="1179" cy="0"/>
              </a:xfrm>
              <a:prstGeom prst="line">
                <a:avLst/>
              </a:prstGeom>
              <a:noFill/>
              <a:ln w="28575">
                <a:solidFill>
                  <a:srgbClr val="996633"/>
                </a:solidFill>
                <a:round/>
                <a:headEnd/>
                <a:tailEnd/>
              </a:ln>
            </xdr:spPr>
          </xdr:sp>
          <xdr:sp macro="" textlink="">
            <xdr:nvSpPr>
              <xdr:cNvPr id="16420" name="Line 250"/>
              <xdr:cNvSpPr>
                <a:spLocks noChangeShapeType="1"/>
              </xdr:cNvSpPr>
            </xdr:nvSpPr>
            <xdr:spPr bwMode="auto">
              <a:xfrm>
                <a:off x="1973" y="799"/>
                <a:ext cx="0" cy="136"/>
              </a:xfrm>
              <a:prstGeom prst="line">
                <a:avLst/>
              </a:prstGeom>
              <a:noFill/>
              <a:ln w="28575">
                <a:solidFill>
                  <a:srgbClr val="996633"/>
                </a:solidFill>
                <a:round/>
                <a:headEnd/>
                <a:tailEnd/>
              </a:ln>
            </xdr:spPr>
          </xdr:sp>
          <xdr:sp macro="" textlink="">
            <xdr:nvSpPr>
              <xdr:cNvPr id="16421" name="Line 251"/>
              <xdr:cNvSpPr>
                <a:spLocks noChangeShapeType="1"/>
              </xdr:cNvSpPr>
            </xdr:nvSpPr>
            <xdr:spPr bwMode="auto">
              <a:xfrm flipH="1">
                <a:off x="3152" y="799"/>
                <a:ext cx="0" cy="136"/>
              </a:xfrm>
              <a:prstGeom prst="line">
                <a:avLst/>
              </a:prstGeom>
              <a:noFill/>
              <a:ln w="28575">
                <a:solidFill>
                  <a:srgbClr val="996633"/>
                </a:solidFill>
                <a:round/>
                <a:headEnd/>
                <a:tailEnd/>
              </a:ln>
            </xdr:spPr>
          </xdr:sp>
        </xdr:grpSp>
        <xdr:sp macro="" textlink="">
          <xdr:nvSpPr>
            <xdr:cNvPr id="16403" name="Oval 252"/>
            <xdr:cNvSpPr>
              <a:spLocks noChangeArrowheads="1"/>
            </xdr:cNvSpPr>
          </xdr:nvSpPr>
          <xdr:spPr bwMode="auto">
            <a:xfrm>
              <a:off x="431" y="1662"/>
              <a:ext cx="181" cy="181"/>
            </a:xfrm>
            <a:prstGeom prst="ellipse">
              <a:avLst/>
            </a:prstGeom>
            <a:solidFill>
              <a:srgbClr val="996633"/>
            </a:solidFill>
            <a:ln w="9525">
              <a:solidFill>
                <a:srgbClr val="000000"/>
              </a:solidFill>
              <a:round/>
              <a:headEnd/>
              <a:tailEnd/>
            </a:ln>
          </xdr:spPr>
        </xdr:sp>
        <xdr:sp macro="" textlink="">
          <xdr:nvSpPr>
            <xdr:cNvPr id="16404" name="Oval 253"/>
            <xdr:cNvSpPr>
              <a:spLocks noChangeArrowheads="1"/>
            </xdr:cNvSpPr>
          </xdr:nvSpPr>
          <xdr:spPr bwMode="auto">
            <a:xfrm>
              <a:off x="1247" y="1753"/>
              <a:ext cx="181" cy="181"/>
            </a:xfrm>
            <a:prstGeom prst="ellipse">
              <a:avLst/>
            </a:prstGeom>
            <a:solidFill>
              <a:srgbClr val="996633"/>
            </a:solidFill>
            <a:ln w="9525">
              <a:solidFill>
                <a:srgbClr val="000000"/>
              </a:solidFill>
              <a:round/>
              <a:headEnd/>
              <a:tailEnd/>
            </a:ln>
          </xdr:spPr>
        </xdr:sp>
        <xdr:sp macro="" textlink="">
          <xdr:nvSpPr>
            <xdr:cNvPr id="16405" name="Text Box 254"/>
            <xdr:cNvSpPr txBox="1">
              <a:spLocks noChangeArrowheads="1"/>
            </xdr:cNvSpPr>
          </xdr:nvSpPr>
          <xdr:spPr bwMode="auto">
            <a:xfrm rot="418657">
              <a:off x="339" y="1570"/>
              <a:ext cx="1181" cy="175"/>
            </a:xfrm>
            <a:prstGeom prst="rect">
              <a:avLst/>
            </a:prstGeom>
            <a:solidFill>
              <a:srgbClr val="996633"/>
            </a:solidFill>
            <a:ln w="9525">
              <a:solidFill>
                <a:srgbClr val="000000"/>
              </a:solidFill>
              <a:miter lim="800000"/>
              <a:headEnd/>
              <a:tailEnd/>
            </a:ln>
          </xdr:spPr>
        </xdr:sp>
        <xdr:sp macro="" textlink="">
          <xdr:nvSpPr>
            <xdr:cNvPr id="16406" name="Text Box 255"/>
            <xdr:cNvSpPr txBox="1">
              <a:spLocks noChangeArrowheads="1"/>
            </xdr:cNvSpPr>
          </xdr:nvSpPr>
          <xdr:spPr bwMode="auto">
            <a:xfrm rot="418657">
              <a:off x="385" y="1253"/>
              <a:ext cx="1180" cy="175"/>
            </a:xfrm>
            <a:prstGeom prst="rect">
              <a:avLst/>
            </a:prstGeom>
            <a:solidFill>
              <a:srgbClr val="996633"/>
            </a:solidFill>
            <a:ln w="9525">
              <a:solidFill>
                <a:srgbClr val="000000"/>
              </a:solidFill>
              <a:miter lim="800000"/>
              <a:headEnd/>
              <a:tailEnd/>
            </a:ln>
          </xdr:spPr>
        </xdr:sp>
        <xdr:sp macro="" textlink="">
          <xdr:nvSpPr>
            <xdr:cNvPr id="16407" name="Text Box 256"/>
            <xdr:cNvSpPr txBox="1">
              <a:spLocks noChangeArrowheads="1"/>
            </xdr:cNvSpPr>
          </xdr:nvSpPr>
          <xdr:spPr bwMode="auto">
            <a:xfrm rot="418657">
              <a:off x="431" y="934"/>
              <a:ext cx="1180" cy="175"/>
            </a:xfrm>
            <a:prstGeom prst="rect">
              <a:avLst/>
            </a:prstGeom>
            <a:solidFill>
              <a:srgbClr val="996633"/>
            </a:solidFill>
            <a:ln w="9525">
              <a:solidFill>
                <a:srgbClr val="000000"/>
              </a:solidFill>
              <a:miter lim="800000"/>
              <a:headEnd/>
              <a:tailEnd/>
            </a:ln>
          </xdr:spPr>
        </xdr:sp>
        <xdr:sp macro="" textlink="">
          <xdr:nvSpPr>
            <xdr:cNvPr id="16408" name="Text Box 257"/>
            <xdr:cNvSpPr txBox="1">
              <a:spLocks noChangeArrowheads="1"/>
            </xdr:cNvSpPr>
          </xdr:nvSpPr>
          <xdr:spPr bwMode="auto">
            <a:xfrm rot="418657">
              <a:off x="476" y="618"/>
              <a:ext cx="1180" cy="175"/>
            </a:xfrm>
            <a:prstGeom prst="rect">
              <a:avLst/>
            </a:prstGeom>
            <a:solidFill>
              <a:srgbClr val="996633"/>
            </a:solidFill>
            <a:ln w="9525">
              <a:solidFill>
                <a:srgbClr val="000000"/>
              </a:solidFill>
              <a:miter lim="800000"/>
              <a:headEnd/>
              <a:tailEnd/>
            </a:ln>
          </xdr:spPr>
        </xdr:sp>
        <xdr:sp macro="" textlink="">
          <xdr:nvSpPr>
            <xdr:cNvPr id="16409" name="Text Box 258"/>
            <xdr:cNvSpPr txBox="1">
              <a:spLocks noChangeArrowheads="1"/>
            </xdr:cNvSpPr>
          </xdr:nvSpPr>
          <xdr:spPr bwMode="auto">
            <a:xfrm rot="418657">
              <a:off x="522" y="300"/>
              <a:ext cx="1179" cy="175"/>
            </a:xfrm>
            <a:prstGeom prst="rect">
              <a:avLst/>
            </a:prstGeom>
            <a:solidFill>
              <a:srgbClr val="996633"/>
            </a:solidFill>
            <a:ln w="9525">
              <a:solidFill>
                <a:srgbClr val="000000"/>
              </a:solidFill>
              <a:miter lim="800000"/>
              <a:headEnd/>
              <a:tailEnd/>
            </a:ln>
          </xdr:spPr>
        </xdr:sp>
        <xdr:sp macro="" textlink="">
          <xdr:nvSpPr>
            <xdr:cNvPr id="16410" name="Oval 259"/>
            <xdr:cNvSpPr>
              <a:spLocks noChangeArrowheads="1"/>
            </xdr:cNvSpPr>
          </xdr:nvSpPr>
          <xdr:spPr bwMode="auto">
            <a:xfrm>
              <a:off x="839" y="119"/>
              <a:ext cx="181" cy="182"/>
            </a:xfrm>
            <a:prstGeom prst="ellipse">
              <a:avLst/>
            </a:prstGeom>
            <a:solidFill>
              <a:srgbClr val="996633"/>
            </a:solidFill>
            <a:ln w="9525">
              <a:solidFill>
                <a:srgbClr val="000000"/>
              </a:solidFill>
              <a:round/>
              <a:headEnd/>
              <a:tailEnd/>
            </a:ln>
          </xdr:spPr>
        </xdr:sp>
        <xdr:sp macro="" textlink="">
          <xdr:nvSpPr>
            <xdr:cNvPr id="16411" name="Oval 260"/>
            <xdr:cNvSpPr>
              <a:spLocks noChangeArrowheads="1"/>
            </xdr:cNvSpPr>
          </xdr:nvSpPr>
          <xdr:spPr bwMode="auto">
            <a:xfrm>
              <a:off x="1474" y="164"/>
              <a:ext cx="181" cy="181"/>
            </a:xfrm>
            <a:prstGeom prst="ellipse">
              <a:avLst/>
            </a:prstGeom>
            <a:solidFill>
              <a:srgbClr val="996633"/>
            </a:solidFill>
            <a:ln w="9525">
              <a:solidFill>
                <a:srgbClr val="000000"/>
              </a:solidFill>
              <a:round/>
              <a:headEnd/>
              <a:tailEnd/>
            </a:ln>
          </xdr:spPr>
        </xdr:sp>
        <xdr:sp macro="" textlink="">
          <xdr:nvSpPr>
            <xdr:cNvPr id="16412" name="Oval 261"/>
            <xdr:cNvSpPr>
              <a:spLocks noChangeArrowheads="1"/>
            </xdr:cNvSpPr>
          </xdr:nvSpPr>
          <xdr:spPr bwMode="auto">
            <a:xfrm>
              <a:off x="657" y="73"/>
              <a:ext cx="181" cy="181"/>
            </a:xfrm>
            <a:prstGeom prst="ellipse">
              <a:avLst/>
            </a:prstGeom>
            <a:solidFill>
              <a:srgbClr val="996633"/>
            </a:solidFill>
            <a:ln w="9525">
              <a:solidFill>
                <a:srgbClr val="000000"/>
              </a:solidFill>
              <a:round/>
              <a:headEnd/>
              <a:tailEnd/>
            </a:ln>
          </xdr:spPr>
        </xdr:sp>
        <xdr:sp macro="" textlink="">
          <xdr:nvSpPr>
            <xdr:cNvPr id="16413" name="Line 262"/>
            <xdr:cNvSpPr>
              <a:spLocks noChangeShapeType="1"/>
            </xdr:cNvSpPr>
          </xdr:nvSpPr>
          <xdr:spPr bwMode="auto">
            <a:xfrm>
              <a:off x="113" y="1797"/>
              <a:ext cx="1542" cy="182"/>
            </a:xfrm>
            <a:prstGeom prst="line">
              <a:avLst/>
            </a:prstGeom>
            <a:noFill/>
            <a:ln w="19050">
              <a:solidFill>
                <a:srgbClr val="000000"/>
              </a:solidFill>
              <a:round/>
              <a:headEnd/>
              <a:tailEnd/>
            </a:ln>
          </xdr:spPr>
        </xdr:sp>
        <xdr:sp macro="" textlink="">
          <xdr:nvSpPr>
            <xdr:cNvPr id="16414" name="Line 263"/>
            <xdr:cNvSpPr>
              <a:spLocks noChangeShapeType="1"/>
            </xdr:cNvSpPr>
          </xdr:nvSpPr>
          <xdr:spPr bwMode="auto">
            <a:xfrm>
              <a:off x="1519" y="1979"/>
              <a:ext cx="0" cy="0"/>
            </a:xfrm>
            <a:prstGeom prst="line">
              <a:avLst/>
            </a:prstGeom>
            <a:noFill/>
            <a:ln w="9525">
              <a:solidFill>
                <a:srgbClr val="000000"/>
              </a:solidFill>
              <a:round/>
              <a:headEnd/>
              <a:tailEnd/>
            </a:ln>
          </xdr:spPr>
        </xdr:sp>
        <xdr:sp macro="" textlink="">
          <xdr:nvSpPr>
            <xdr:cNvPr id="16415" name="Oval 264"/>
            <xdr:cNvSpPr>
              <a:spLocks noChangeArrowheads="1"/>
            </xdr:cNvSpPr>
          </xdr:nvSpPr>
          <xdr:spPr bwMode="auto">
            <a:xfrm>
              <a:off x="1519" y="1842"/>
              <a:ext cx="136" cy="137"/>
            </a:xfrm>
            <a:prstGeom prst="ellipse">
              <a:avLst/>
            </a:prstGeom>
            <a:solidFill>
              <a:srgbClr val="000000"/>
            </a:solidFill>
            <a:ln w="28575">
              <a:solidFill>
                <a:srgbClr val="0066FF"/>
              </a:solidFill>
              <a:round/>
              <a:headEnd/>
              <a:tailEnd/>
            </a:ln>
          </xdr:spPr>
        </xdr:sp>
        <xdr:sp macro="" textlink="">
          <xdr:nvSpPr>
            <xdr:cNvPr id="16416" name="Line 265"/>
            <xdr:cNvSpPr>
              <a:spLocks noChangeShapeType="1"/>
            </xdr:cNvSpPr>
          </xdr:nvSpPr>
          <xdr:spPr bwMode="auto">
            <a:xfrm flipV="1">
              <a:off x="1655" y="119"/>
              <a:ext cx="409" cy="1860"/>
            </a:xfrm>
            <a:prstGeom prst="line">
              <a:avLst/>
            </a:prstGeom>
            <a:noFill/>
            <a:ln w="19050">
              <a:solidFill>
                <a:srgbClr val="000000"/>
              </a:solidFill>
              <a:round/>
              <a:headEnd/>
              <a:tailEnd/>
            </a:ln>
          </xdr:spPr>
        </xdr:sp>
        <xdr:sp macro="" textlink="">
          <xdr:nvSpPr>
            <xdr:cNvPr id="16417" name="Line 266"/>
            <xdr:cNvSpPr>
              <a:spLocks noChangeShapeType="1"/>
            </xdr:cNvSpPr>
          </xdr:nvSpPr>
          <xdr:spPr bwMode="auto">
            <a:xfrm flipH="1">
              <a:off x="0" y="1797"/>
              <a:ext cx="113" cy="136"/>
            </a:xfrm>
            <a:prstGeom prst="line">
              <a:avLst/>
            </a:prstGeom>
            <a:noFill/>
            <a:ln w="28575">
              <a:solidFill>
                <a:srgbClr val="000000"/>
              </a:solidFill>
              <a:round/>
              <a:headEnd/>
              <a:tailEnd/>
            </a:ln>
          </xdr:spPr>
        </xdr:sp>
      </xdr:grpSp>
      <xdr:grpSp>
        <xdr:nvGrpSpPr>
          <xdr:cNvPr id="16390" name="Group 425"/>
          <xdr:cNvGrpSpPr>
            <a:grpSpLocks/>
          </xdr:cNvGrpSpPr>
        </xdr:nvGrpSpPr>
        <xdr:grpSpPr bwMode="auto">
          <a:xfrm>
            <a:off x="5364165" y="1412877"/>
            <a:ext cx="2559051" cy="1944690"/>
            <a:chOff x="3379" y="890"/>
            <a:chExt cx="1612" cy="1225"/>
          </a:xfrm>
        </xdr:grpSpPr>
        <xdr:sp macro="" textlink="">
          <xdr:nvSpPr>
            <xdr:cNvPr id="16391" name="AutoShape 378"/>
            <xdr:cNvSpPr>
              <a:spLocks noChangeArrowheads="1"/>
            </xdr:cNvSpPr>
          </xdr:nvSpPr>
          <xdr:spPr bwMode="auto">
            <a:xfrm rot="180837">
              <a:off x="3379" y="1888"/>
              <a:ext cx="1567" cy="227"/>
            </a:xfrm>
            <a:prstGeom prst="leftArrow">
              <a:avLst>
                <a:gd name="adj1" fmla="val 50000"/>
                <a:gd name="adj2" fmla="val 172577"/>
              </a:avLst>
            </a:prstGeom>
            <a:solidFill>
              <a:srgbClr val="FF0000"/>
            </a:solidFill>
            <a:ln w="9525">
              <a:solidFill>
                <a:srgbClr val="000000"/>
              </a:solidFill>
              <a:miter lim="800000"/>
              <a:headEnd/>
              <a:tailEnd/>
            </a:ln>
          </xdr:spPr>
        </xdr:sp>
        <xdr:sp macro="" textlink="">
          <xdr:nvSpPr>
            <xdr:cNvPr id="16392" name="AutoShape 380"/>
            <xdr:cNvSpPr>
              <a:spLocks noChangeArrowheads="1"/>
            </xdr:cNvSpPr>
          </xdr:nvSpPr>
          <xdr:spPr bwMode="auto">
            <a:xfrm rot="180837">
              <a:off x="3424" y="890"/>
              <a:ext cx="1567" cy="227"/>
            </a:xfrm>
            <a:prstGeom prst="leftArrow">
              <a:avLst>
                <a:gd name="adj1" fmla="val 50000"/>
                <a:gd name="adj2" fmla="val 172577"/>
              </a:avLst>
            </a:prstGeom>
            <a:solidFill>
              <a:srgbClr val="FF0000"/>
            </a:solidFill>
            <a:ln w="9525">
              <a:solidFill>
                <a:srgbClr val="000000"/>
              </a:solidFill>
              <a:miter lim="800000"/>
              <a:headEnd/>
              <a:tailEnd/>
            </a:ln>
          </xdr:spPr>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514350</xdr:colOff>
      <xdr:row>52</xdr:row>
      <xdr:rowOff>76200</xdr:rowOff>
    </xdr:from>
    <xdr:to>
      <xdr:col>7</xdr:col>
      <xdr:colOff>428625</xdr:colOff>
      <xdr:row>55</xdr:row>
      <xdr:rowOff>57150</xdr:rowOff>
    </xdr:to>
    <xdr:pic>
      <xdr:nvPicPr>
        <xdr:cNvPr id="17409"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33550" y="10296525"/>
          <a:ext cx="5276850" cy="552450"/>
        </a:xfrm>
        <a:prstGeom prst="rect">
          <a:avLst/>
        </a:prstGeom>
        <a:noFill/>
        <a:ln w="9525">
          <a:noFill/>
          <a:miter lim="800000"/>
          <a:headEnd/>
          <a:tailEnd/>
        </a:ln>
      </xdr:spPr>
    </xdr:pic>
    <xdr:clientData/>
  </xdr:twoCellAnchor>
  <xdr:twoCellAnchor>
    <xdr:from>
      <xdr:col>8</xdr:col>
      <xdr:colOff>1209675</xdr:colOff>
      <xdr:row>13</xdr:row>
      <xdr:rowOff>152400</xdr:rowOff>
    </xdr:from>
    <xdr:to>
      <xdr:col>8</xdr:col>
      <xdr:colOff>3095625</xdr:colOff>
      <xdr:row>15</xdr:row>
      <xdr:rowOff>133350</xdr:rowOff>
    </xdr:to>
    <xdr:pic>
      <xdr:nvPicPr>
        <xdr:cNvPr id="17410"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8401050" y="2714625"/>
          <a:ext cx="1885950" cy="361950"/>
        </a:xfrm>
        <a:prstGeom prst="rect">
          <a:avLst/>
        </a:prstGeom>
        <a:noFill/>
        <a:ln w="9525">
          <a:noFill/>
          <a:miter lim="800000"/>
          <a:headEnd/>
          <a:tailEnd/>
        </a:ln>
      </xdr:spPr>
    </xdr:pic>
    <xdr:clientData/>
  </xdr:twoCellAnchor>
  <xdr:twoCellAnchor>
    <xdr:from>
      <xdr:col>8</xdr:col>
      <xdr:colOff>1409700</xdr:colOff>
      <xdr:row>17</xdr:row>
      <xdr:rowOff>19050</xdr:rowOff>
    </xdr:from>
    <xdr:to>
      <xdr:col>8</xdr:col>
      <xdr:colOff>2933700</xdr:colOff>
      <xdr:row>18</xdr:row>
      <xdr:rowOff>171450</xdr:rowOff>
    </xdr:to>
    <xdr:pic>
      <xdr:nvPicPr>
        <xdr:cNvPr id="17411" name="Picture 3"/>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8601075" y="3343275"/>
          <a:ext cx="1524000" cy="342900"/>
        </a:xfrm>
        <a:prstGeom prst="rect">
          <a:avLst/>
        </a:prstGeom>
        <a:noFill/>
        <a:ln w="9525">
          <a:noFill/>
          <a:miter lim="800000"/>
          <a:headEnd/>
          <a:tailEnd/>
        </a:ln>
      </xdr:spPr>
    </xdr:pic>
    <xdr:clientData/>
  </xdr:twoCellAnchor>
  <xdr:twoCellAnchor>
    <xdr:from>
      <xdr:col>8</xdr:col>
      <xdr:colOff>2143125</xdr:colOff>
      <xdr:row>20</xdr:row>
      <xdr:rowOff>76200</xdr:rowOff>
    </xdr:from>
    <xdr:to>
      <xdr:col>8</xdr:col>
      <xdr:colOff>2371725</xdr:colOff>
      <xdr:row>22</xdr:row>
      <xdr:rowOff>161925</xdr:rowOff>
    </xdr:to>
    <xdr:pic>
      <xdr:nvPicPr>
        <xdr:cNvPr id="17412" name="Picture 4"/>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9334500" y="3971925"/>
          <a:ext cx="228600" cy="466725"/>
        </a:xfrm>
        <a:prstGeom prst="rect">
          <a:avLst/>
        </a:prstGeom>
        <a:noFill/>
        <a:ln w="9525">
          <a:noFill/>
          <a:miter lim="800000"/>
          <a:headEnd/>
          <a:tailEnd/>
        </a:ln>
      </xdr:spPr>
    </xdr:pic>
    <xdr:clientData/>
  </xdr:twoCellAnchor>
  <xdr:twoCellAnchor>
    <xdr:from>
      <xdr:col>9</xdr:col>
      <xdr:colOff>628650</xdr:colOff>
      <xdr:row>8</xdr:row>
      <xdr:rowOff>19050</xdr:rowOff>
    </xdr:from>
    <xdr:to>
      <xdr:col>14</xdr:col>
      <xdr:colOff>371475</xdr:colOff>
      <xdr:row>21</xdr:row>
      <xdr:rowOff>133350</xdr:rowOff>
    </xdr:to>
    <xdr:grpSp>
      <xdr:nvGrpSpPr>
        <xdr:cNvPr id="17413" name="Gruppo 5"/>
        <xdr:cNvGrpSpPr>
          <a:grpSpLocks/>
        </xdr:cNvGrpSpPr>
      </xdr:nvGrpSpPr>
      <xdr:grpSpPr bwMode="auto">
        <a:xfrm>
          <a:off x="11058525" y="1552575"/>
          <a:ext cx="2895600" cy="2667000"/>
          <a:chOff x="611187" y="188912"/>
          <a:chExt cx="3240090" cy="2808290"/>
        </a:xfrm>
      </xdr:grpSpPr>
      <xdr:grpSp>
        <xdr:nvGrpSpPr>
          <xdr:cNvPr id="17414" name="Group 62"/>
          <xdr:cNvGrpSpPr>
            <a:grpSpLocks/>
          </xdr:cNvGrpSpPr>
        </xdr:nvGrpSpPr>
        <xdr:grpSpPr bwMode="auto">
          <a:xfrm>
            <a:off x="1187450" y="188912"/>
            <a:ext cx="2663827" cy="2593978"/>
            <a:chOff x="0" y="73"/>
            <a:chExt cx="2064" cy="1906"/>
          </a:xfrm>
        </xdr:grpSpPr>
        <xdr:grpSp>
          <xdr:nvGrpSpPr>
            <xdr:cNvPr id="17421" name="Group 13"/>
            <xdr:cNvGrpSpPr>
              <a:grpSpLocks/>
            </xdr:cNvGrpSpPr>
          </xdr:nvGrpSpPr>
          <xdr:grpSpPr bwMode="auto">
            <a:xfrm>
              <a:off x="522" y="300"/>
              <a:ext cx="1179" cy="364"/>
              <a:chOff x="1973" y="799"/>
              <a:chExt cx="1179" cy="364"/>
            </a:xfrm>
          </xdr:grpSpPr>
          <xdr:grpSp>
            <xdr:nvGrpSpPr>
              <xdr:cNvPr id="17464" name="Group 12"/>
              <xdr:cNvGrpSpPr>
                <a:grpSpLocks/>
              </xdr:cNvGrpSpPr>
            </xdr:nvGrpSpPr>
            <xdr:grpSpPr bwMode="auto">
              <a:xfrm rot="454658">
                <a:off x="1973" y="799"/>
                <a:ext cx="1179" cy="136"/>
                <a:chOff x="1973" y="799"/>
                <a:chExt cx="1179" cy="136"/>
              </a:xfrm>
            </xdr:grpSpPr>
            <xdr:sp macro="" textlink="">
              <xdr:nvSpPr>
                <xdr:cNvPr id="17467" name="Line 5"/>
                <xdr:cNvSpPr>
                  <a:spLocks noChangeShapeType="1"/>
                </xdr:cNvSpPr>
              </xdr:nvSpPr>
              <xdr:spPr bwMode="auto">
                <a:xfrm>
                  <a:off x="1973" y="799"/>
                  <a:ext cx="1179" cy="0"/>
                </a:xfrm>
                <a:prstGeom prst="line">
                  <a:avLst/>
                </a:prstGeom>
                <a:noFill/>
                <a:ln w="9525">
                  <a:solidFill>
                    <a:srgbClr val="000000"/>
                  </a:solidFill>
                  <a:round/>
                  <a:headEnd/>
                  <a:tailEnd/>
                </a:ln>
              </xdr:spPr>
            </xdr:sp>
            <xdr:sp macro="" textlink="">
              <xdr:nvSpPr>
                <xdr:cNvPr id="17468" name="Line 6"/>
                <xdr:cNvSpPr>
                  <a:spLocks noChangeShapeType="1"/>
                </xdr:cNvSpPr>
              </xdr:nvSpPr>
              <xdr:spPr bwMode="auto">
                <a:xfrm>
                  <a:off x="1973" y="935"/>
                  <a:ext cx="1179" cy="0"/>
                </a:xfrm>
                <a:prstGeom prst="line">
                  <a:avLst/>
                </a:prstGeom>
                <a:noFill/>
                <a:ln w="9525">
                  <a:solidFill>
                    <a:srgbClr val="000000"/>
                  </a:solidFill>
                  <a:round/>
                  <a:headEnd/>
                  <a:tailEnd/>
                </a:ln>
              </xdr:spPr>
            </xdr:sp>
            <xdr:sp macro="" textlink="">
              <xdr:nvSpPr>
                <xdr:cNvPr id="17469" name="Line 7"/>
                <xdr:cNvSpPr>
                  <a:spLocks noChangeShapeType="1"/>
                </xdr:cNvSpPr>
              </xdr:nvSpPr>
              <xdr:spPr bwMode="auto">
                <a:xfrm>
                  <a:off x="1973" y="799"/>
                  <a:ext cx="0" cy="136"/>
                </a:xfrm>
                <a:prstGeom prst="line">
                  <a:avLst/>
                </a:prstGeom>
                <a:noFill/>
                <a:ln w="9525">
                  <a:solidFill>
                    <a:srgbClr val="000000"/>
                  </a:solidFill>
                  <a:round/>
                  <a:headEnd/>
                  <a:tailEnd/>
                </a:ln>
              </xdr:spPr>
            </xdr:sp>
            <xdr:sp macro="" textlink="">
              <xdr:nvSpPr>
                <xdr:cNvPr id="17470" name="Line 8"/>
                <xdr:cNvSpPr>
                  <a:spLocks noChangeShapeType="1"/>
                </xdr:cNvSpPr>
              </xdr:nvSpPr>
              <xdr:spPr bwMode="auto">
                <a:xfrm flipH="1">
                  <a:off x="3152" y="799"/>
                  <a:ext cx="0" cy="136"/>
                </a:xfrm>
                <a:prstGeom prst="line">
                  <a:avLst/>
                </a:prstGeom>
                <a:noFill/>
                <a:ln w="9525">
                  <a:solidFill>
                    <a:srgbClr val="000000"/>
                  </a:solidFill>
                  <a:round/>
                  <a:headEnd/>
                  <a:tailEnd/>
                </a:ln>
              </xdr:spPr>
            </xdr:sp>
          </xdr:grpSp>
          <xdr:sp macro="" textlink="">
            <xdr:nvSpPr>
              <xdr:cNvPr id="17465" name="Oval 9"/>
              <xdr:cNvSpPr>
                <a:spLocks noChangeArrowheads="1"/>
              </xdr:cNvSpPr>
            </xdr:nvSpPr>
            <xdr:spPr bwMode="auto">
              <a:xfrm>
                <a:off x="2064" y="891"/>
                <a:ext cx="181" cy="181"/>
              </a:xfrm>
              <a:prstGeom prst="ellipse">
                <a:avLst/>
              </a:prstGeom>
              <a:solidFill>
                <a:srgbClr val="996633"/>
              </a:solidFill>
              <a:ln w="9525">
                <a:solidFill>
                  <a:srgbClr val="000000"/>
                </a:solidFill>
                <a:round/>
                <a:headEnd/>
                <a:tailEnd/>
              </a:ln>
            </xdr:spPr>
          </xdr:sp>
          <xdr:sp macro="" textlink="">
            <xdr:nvSpPr>
              <xdr:cNvPr id="17466" name="Oval 11"/>
              <xdr:cNvSpPr>
                <a:spLocks noChangeArrowheads="1"/>
              </xdr:cNvSpPr>
            </xdr:nvSpPr>
            <xdr:spPr bwMode="auto">
              <a:xfrm>
                <a:off x="2880" y="982"/>
                <a:ext cx="181" cy="181"/>
              </a:xfrm>
              <a:prstGeom prst="ellipse">
                <a:avLst/>
              </a:prstGeom>
              <a:solidFill>
                <a:srgbClr val="996633"/>
              </a:solidFill>
              <a:ln w="9525">
                <a:solidFill>
                  <a:srgbClr val="000000"/>
                </a:solidFill>
                <a:round/>
                <a:headEnd/>
                <a:tailEnd/>
              </a:ln>
            </xdr:spPr>
          </xdr:sp>
        </xdr:grpSp>
        <xdr:grpSp>
          <xdr:nvGrpSpPr>
            <xdr:cNvPr id="17422" name="Group 14"/>
            <xdr:cNvGrpSpPr>
              <a:grpSpLocks/>
            </xdr:cNvGrpSpPr>
          </xdr:nvGrpSpPr>
          <xdr:grpSpPr bwMode="auto">
            <a:xfrm>
              <a:off x="477" y="618"/>
              <a:ext cx="1179" cy="364"/>
              <a:chOff x="1973" y="799"/>
              <a:chExt cx="1179" cy="364"/>
            </a:xfrm>
          </xdr:grpSpPr>
          <xdr:grpSp>
            <xdr:nvGrpSpPr>
              <xdr:cNvPr id="17457" name="Group 15"/>
              <xdr:cNvGrpSpPr>
                <a:grpSpLocks/>
              </xdr:cNvGrpSpPr>
            </xdr:nvGrpSpPr>
            <xdr:grpSpPr bwMode="auto">
              <a:xfrm rot="454658">
                <a:off x="1973" y="799"/>
                <a:ext cx="1179" cy="136"/>
                <a:chOff x="1973" y="799"/>
                <a:chExt cx="1179" cy="136"/>
              </a:xfrm>
            </xdr:grpSpPr>
            <xdr:sp macro="" textlink="">
              <xdr:nvSpPr>
                <xdr:cNvPr id="17460" name="Line 16"/>
                <xdr:cNvSpPr>
                  <a:spLocks noChangeShapeType="1"/>
                </xdr:cNvSpPr>
              </xdr:nvSpPr>
              <xdr:spPr bwMode="auto">
                <a:xfrm>
                  <a:off x="1973" y="799"/>
                  <a:ext cx="1179" cy="0"/>
                </a:xfrm>
                <a:prstGeom prst="line">
                  <a:avLst/>
                </a:prstGeom>
                <a:noFill/>
                <a:ln w="9525">
                  <a:solidFill>
                    <a:srgbClr val="000000"/>
                  </a:solidFill>
                  <a:round/>
                  <a:headEnd/>
                  <a:tailEnd/>
                </a:ln>
              </xdr:spPr>
            </xdr:sp>
            <xdr:sp macro="" textlink="">
              <xdr:nvSpPr>
                <xdr:cNvPr id="17461" name="Line 17"/>
                <xdr:cNvSpPr>
                  <a:spLocks noChangeShapeType="1"/>
                </xdr:cNvSpPr>
              </xdr:nvSpPr>
              <xdr:spPr bwMode="auto">
                <a:xfrm>
                  <a:off x="1973" y="935"/>
                  <a:ext cx="1179" cy="0"/>
                </a:xfrm>
                <a:prstGeom prst="line">
                  <a:avLst/>
                </a:prstGeom>
                <a:noFill/>
                <a:ln w="9525">
                  <a:solidFill>
                    <a:srgbClr val="000000"/>
                  </a:solidFill>
                  <a:round/>
                  <a:headEnd/>
                  <a:tailEnd/>
                </a:ln>
              </xdr:spPr>
            </xdr:sp>
            <xdr:sp macro="" textlink="">
              <xdr:nvSpPr>
                <xdr:cNvPr id="17462" name="Line 18"/>
                <xdr:cNvSpPr>
                  <a:spLocks noChangeShapeType="1"/>
                </xdr:cNvSpPr>
              </xdr:nvSpPr>
              <xdr:spPr bwMode="auto">
                <a:xfrm>
                  <a:off x="1973" y="799"/>
                  <a:ext cx="0" cy="136"/>
                </a:xfrm>
                <a:prstGeom prst="line">
                  <a:avLst/>
                </a:prstGeom>
                <a:noFill/>
                <a:ln w="9525">
                  <a:solidFill>
                    <a:srgbClr val="000000"/>
                  </a:solidFill>
                  <a:round/>
                  <a:headEnd/>
                  <a:tailEnd/>
                </a:ln>
              </xdr:spPr>
            </xdr:sp>
            <xdr:sp macro="" textlink="">
              <xdr:nvSpPr>
                <xdr:cNvPr id="17463" name="Line 19"/>
                <xdr:cNvSpPr>
                  <a:spLocks noChangeShapeType="1"/>
                </xdr:cNvSpPr>
              </xdr:nvSpPr>
              <xdr:spPr bwMode="auto">
                <a:xfrm flipH="1">
                  <a:off x="3152" y="799"/>
                  <a:ext cx="0" cy="136"/>
                </a:xfrm>
                <a:prstGeom prst="line">
                  <a:avLst/>
                </a:prstGeom>
                <a:noFill/>
                <a:ln w="9525">
                  <a:solidFill>
                    <a:srgbClr val="000000"/>
                  </a:solidFill>
                  <a:round/>
                  <a:headEnd/>
                  <a:tailEnd/>
                </a:ln>
              </xdr:spPr>
            </xdr:sp>
          </xdr:grpSp>
          <xdr:sp macro="" textlink="">
            <xdr:nvSpPr>
              <xdr:cNvPr id="17458" name="Oval 20"/>
              <xdr:cNvSpPr>
                <a:spLocks noChangeArrowheads="1"/>
              </xdr:cNvSpPr>
            </xdr:nvSpPr>
            <xdr:spPr bwMode="auto">
              <a:xfrm>
                <a:off x="2064" y="891"/>
                <a:ext cx="181" cy="181"/>
              </a:xfrm>
              <a:prstGeom prst="ellipse">
                <a:avLst/>
              </a:prstGeom>
              <a:solidFill>
                <a:srgbClr val="996633"/>
              </a:solidFill>
              <a:ln w="9525">
                <a:solidFill>
                  <a:srgbClr val="000000"/>
                </a:solidFill>
                <a:round/>
                <a:headEnd/>
                <a:tailEnd/>
              </a:ln>
            </xdr:spPr>
          </xdr:sp>
          <xdr:sp macro="" textlink="">
            <xdr:nvSpPr>
              <xdr:cNvPr id="17459" name="Oval 21"/>
              <xdr:cNvSpPr>
                <a:spLocks noChangeArrowheads="1"/>
              </xdr:cNvSpPr>
            </xdr:nvSpPr>
            <xdr:spPr bwMode="auto">
              <a:xfrm>
                <a:off x="2880" y="982"/>
                <a:ext cx="181" cy="181"/>
              </a:xfrm>
              <a:prstGeom prst="ellipse">
                <a:avLst/>
              </a:prstGeom>
              <a:solidFill>
                <a:srgbClr val="996633"/>
              </a:solidFill>
              <a:ln w="9525">
                <a:solidFill>
                  <a:srgbClr val="000000"/>
                </a:solidFill>
                <a:round/>
                <a:headEnd/>
                <a:tailEnd/>
              </a:ln>
            </xdr:spPr>
          </xdr:sp>
        </xdr:grpSp>
        <xdr:grpSp>
          <xdr:nvGrpSpPr>
            <xdr:cNvPr id="17423" name="Group 22"/>
            <xdr:cNvGrpSpPr>
              <a:grpSpLocks/>
            </xdr:cNvGrpSpPr>
          </xdr:nvGrpSpPr>
          <xdr:grpSpPr bwMode="auto">
            <a:xfrm>
              <a:off x="431" y="935"/>
              <a:ext cx="1179" cy="364"/>
              <a:chOff x="1973" y="799"/>
              <a:chExt cx="1179" cy="364"/>
            </a:xfrm>
          </xdr:grpSpPr>
          <xdr:grpSp>
            <xdr:nvGrpSpPr>
              <xdr:cNvPr id="17450" name="Group 23"/>
              <xdr:cNvGrpSpPr>
                <a:grpSpLocks/>
              </xdr:cNvGrpSpPr>
            </xdr:nvGrpSpPr>
            <xdr:grpSpPr bwMode="auto">
              <a:xfrm rot="454658">
                <a:off x="1973" y="799"/>
                <a:ext cx="1179" cy="136"/>
                <a:chOff x="1973" y="799"/>
                <a:chExt cx="1179" cy="136"/>
              </a:xfrm>
            </xdr:grpSpPr>
            <xdr:sp macro="" textlink="">
              <xdr:nvSpPr>
                <xdr:cNvPr id="17453" name="Line 24"/>
                <xdr:cNvSpPr>
                  <a:spLocks noChangeShapeType="1"/>
                </xdr:cNvSpPr>
              </xdr:nvSpPr>
              <xdr:spPr bwMode="auto">
                <a:xfrm>
                  <a:off x="1973" y="799"/>
                  <a:ext cx="1179" cy="0"/>
                </a:xfrm>
                <a:prstGeom prst="line">
                  <a:avLst/>
                </a:prstGeom>
                <a:noFill/>
                <a:ln w="9525">
                  <a:solidFill>
                    <a:srgbClr val="000000"/>
                  </a:solidFill>
                  <a:round/>
                  <a:headEnd/>
                  <a:tailEnd/>
                </a:ln>
              </xdr:spPr>
            </xdr:sp>
            <xdr:sp macro="" textlink="">
              <xdr:nvSpPr>
                <xdr:cNvPr id="17454" name="Line 25"/>
                <xdr:cNvSpPr>
                  <a:spLocks noChangeShapeType="1"/>
                </xdr:cNvSpPr>
              </xdr:nvSpPr>
              <xdr:spPr bwMode="auto">
                <a:xfrm>
                  <a:off x="1973" y="935"/>
                  <a:ext cx="1179" cy="0"/>
                </a:xfrm>
                <a:prstGeom prst="line">
                  <a:avLst/>
                </a:prstGeom>
                <a:noFill/>
                <a:ln w="9525">
                  <a:solidFill>
                    <a:srgbClr val="000000"/>
                  </a:solidFill>
                  <a:round/>
                  <a:headEnd/>
                  <a:tailEnd/>
                </a:ln>
              </xdr:spPr>
            </xdr:sp>
            <xdr:sp macro="" textlink="">
              <xdr:nvSpPr>
                <xdr:cNvPr id="17455" name="Line 26"/>
                <xdr:cNvSpPr>
                  <a:spLocks noChangeShapeType="1"/>
                </xdr:cNvSpPr>
              </xdr:nvSpPr>
              <xdr:spPr bwMode="auto">
                <a:xfrm>
                  <a:off x="1973" y="799"/>
                  <a:ext cx="0" cy="136"/>
                </a:xfrm>
                <a:prstGeom prst="line">
                  <a:avLst/>
                </a:prstGeom>
                <a:noFill/>
                <a:ln w="9525">
                  <a:solidFill>
                    <a:srgbClr val="000000"/>
                  </a:solidFill>
                  <a:round/>
                  <a:headEnd/>
                  <a:tailEnd/>
                </a:ln>
              </xdr:spPr>
            </xdr:sp>
            <xdr:sp macro="" textlink="">
              <xdr:nvSpPr>
                <xdr:cNvPr id="17456" name="Line 27"/>
                <xdr:cNvSpPr>
                  <a:spLocks noChangeShapeType="1"/>
                </xdr:cNvSpPr>
              </xdr:nvSpPr>
              <xdr:spPr bwMode="auto">
                <a:xfrm flipH="1">
                  <a:off x="3152" y="799"/>
                  <a:ext cx="0" cy="136"/>
                </a:xfrm>
                <a:prstGeom prst="line">
                  <a:avLst/>
                </a:prstGeom>
                <a:noFill/>
                <a:ln w="9525">
                  <a:solidFill>
                    <a:srgbClr val="000000"/>
                  </a:solidFill>
                  <a:round/>
                  <a:headEnd/>
                  <a:tailEnd/>
                </a:ln>
              </xdr:spPr>
            </xdr:sp>
          </xdr:grpSp>
          <xdr:sp macro="" textlink="">
            <xdr:nvSpPr>
              <xdr:cNvPr id="17451" name="Oval 28"/>
              <xdr:cNvSpPr>
                <a:spLocks noChangeArrowheads="1"/>
              </xdr:cNvSpPr>
            </xdr:nvSpPr>
            <xdr:spPr bwMode="auto">
              <a:xfrm>
                <a:off x="2064" y="891"/>
                <a:ext cx="181" cy="181"/>
              </a:xfrm>
              <a:prstGeom prst="ellipse">
                <a:avLst/>
              </a:prstGeom>
              <a:solidFill>
                <a:srgbClr val="996633"/>
              </a:solidFill>
              <a:ln w="9525">
                <a:solidFill>
                  <a:srgbClr val="000000"/>
                </a:solidFill>
                <a:round/>
                <a:headEnd/>
                <a:tailEnd/>
              </a:ln>
            </xdr:spPr>
          </xdr:sp>
          <xdr:sp macro="" textlink="">
            <xdr:nvSpPr>
              <xdr:cNvPr id="17452" name="Oval 29"/>
              <xdr:cNvSpPr>
                <a:spLocks noChangeArrowheads="1"/>
              </xdr:cNvSpPr>
            </xdr:nvSpPr>
            <xdr:spPr bwMode="auto">
              <a:xfrm>
                <a:off x="2880" y="982"/>
                <a:ext cx="181" cy="181"/>
              </a:xfrm>
              <a:prstGeom prst="ellipse">
                <a:avLst/>
              </a:prstGeom>
              <a:solidFill>
                <a:srgbClr val="996633"/>
              </a:solidFill>
              <a:ln w="9525">
                <a:solidFill>
                  <a:srgbClr val="000000"/>
                </a:solidFill>
                <a:round/>
                <a:headEnd/>
                <a:tailEnd/>
              </a:ln>
            </xdr:spPr>
          </xdr:sp>
        </xdr:grpSp>
        <xdr:sp macro="" textlink="">
          <xdr:nvSpPr>
            <xdr:cNvPr id="17424" name="Line 32"/>
            <xdr:cNvSpPr>
              <a:spLocks noChangeShapeType="1"/>
            </xdr:cNvSpPr>
          </xdr:nvSpPr>
          <xdr:spPr bwMode="auto">
            <a:xfrm rot="454658">
              <a:off x="402" y="1254"/>
              <a:ext cx="1179" cy="0"/>
            </a:xfrm>
            <a:prstGeom prst="line">
              <a:avLst/>
            </a:prstGeom>
            <a:noFill/>
            <a:ln w="9525">
              <a:solidFill>
                <a:srgbClr val="000000"/>
              </a:solidFill>
              <a:round/>
              <a:headEnd/>
              <a:tailEnd/>
            </a:ln>
          </xdr:spPr>
        </xdr:sp>
        <xdr:sp macro="" textlink="">
          <xdr:nvSpPr>
            <xdr:cNvPr id="17425" name="Line 33"/>
            <xdr:cNvSpPr>
              <a:spLocks noChangeShapeType="1"/>
            </xdr:cNvSpPr>
          </xdr:nvSpPr>
          <xdr:spPr bwMode="auto">
            <a:xfrm rot="454658">
              <a:off x="385" y="1389"/>
              <a:ext cx="1179" cy="0"/>
            </a:xfrm>
            <a:prstGeom prst="line">
              <a:avLst/>
            </a:prstGeom>
            <a:noFill/>
            <a:ln w="9525">
              <a:solidFill>
                <a:srgbClr val="000000"/>
              </a:solidFill>
              <a:round/>
              <a:headEnd/>
              <a:tailEnd/>
            </a:ln>
          </xdr:spPr>
        </xdr:sp>
        <xdr:sp macro="" textlink="">
          <xdr:nvSpPr>
            <xdr:cNvPr id="17426" name="Line 34"/>
            <xdr:cNvSpPr>
              <a:spLocks noChangeShapeType="1"/>
            </xdr:cNvSpPr>
          </xdr:nvSpPr>
          <xdr:spPr bwMode="auto">
            <a:xfrm rot="454658">
              <a:off x="399" y="1176"/>
              <a:ext cx="0" cy="136"/>
            </a:xfrm>
            <a:prstGeom prst="line">
              <a:avLst/>
            </a:prstGeom>
            <a:noFill/>
            <a:ln w="9525">
              <a:solidFill>
                <a:srgbClr val="000000"/>
              </a:solidFill>
              <a:round/>
              <a:headEnd/>
              <a:tailEnd/>
            </a:ln>
          </xdr:spPr>
        </xdr:sp>
        <xdr:sp macro="" textlink="">
          <xdr:nvSpPr>
            <xdr:cNvPr id="17427" name="Line 35"/>
            <xdr:cNvSpPr>
              <a:spLocks noChangeShapeType="1"/>
            </xdr:cNvSpPr>
          </xdr:nvSpPr>
          <xdr:spPr bwMode="auto">
            <a:xfrm rot="454658" flipH="1">
              <a:off x="1567" y="1331"/>
              <a:ext cx="0" cy="136"/>
            </a:xfrm>
            <a:prstGeom prst="line">
              <a:avLst/>
            </a:prstGeom>
            <a:noFill/>
            <a:ln w="9525">
              <a:solidFill>
                <a:srgbClr val="000000"/>
              </a:solidFill>
              <a:round/>
              <a:headEnd/>
              <a:tailEnd/>
            </a:ln>
          </xdr:spPr>
        </xdr:sp>
        <xdr:sp macro="" textlink="">
          <xdr:nvSpPr>
            <xdr:cNvPr id="17428" name="Oval 36"/>
            <xdr:cNvSpPr>
              <a:spLocks noChangeArrowheads="1"/>
            </xdr:cNvSpPr>
          </xdr:nvSpPr>
          <xdr:spPr bwMode="auto">
            <a:xfrm>
              <a:off x="476" y="1345"/>
              <a:ext cx="181" cy="181"/>
            </a:xfrm>
            <a:prstGeom prst="ellipse">
              <a:avLst/>
            </a:prstGeom>
            <a:solidFill>
              <a:srgbClr val="996633"/>
            </a:solidFill>
            <a:ln w="9525">
              <a:solidFill>
                <a:srgbClr val="000000"/>
              </a:solidFill>
              <a:round/>
              <a:headEnd/>
              <a:tailEnd/>
            </a:ln>
          </xdr:spPr>
        </xdr:sp>
        <xdr:sp macro="" textlink="">
          <xdr:nvSpPr>
            <xdr:cNvPr id="17429" name="Oval 37"/>
            <xdr:cNvSpPr>
              <a:spLocks noChangeArrowheads="1"/>
            </xdr:cNvSpPr>
          </xdr:nvSpPr>
          <xdr:spPr bwMode="auto">
            <a:xfrm>
              <a:off x="1292" y="1436"/>
              <a:ext cx="181" cy="181"/>
            </a:xfrm>
            <a:prstGeom prst="ellipse">
              <a:avLst/>
            </a:prstGeom>
            <a:solidFill>
              <a:srgbClr val="996633"/>
            </a:solidFill>
            <a:ln w="9525">
              <a:solidFill>
                <a:srgbClr val="000000"/>
              </a:solidFill>
              <a:round/>
              <a:headEnd/>
              <a:tailEnd/>
            </a:ln>
          </xdr:spPr>
        </xdr:sp>
        <xdr:grpSp>
          <xdr:nvGrpSpPr>
            <xdr:cNvPr id="17430" name="Group 39"/>
            <xdr:cNvGrpSpPr>
              <a:grpSpLocks/>
            </xdr:cNvGrpSpPr>
          </xdr:nvGrpSpPr>
          <xdr:grpSpPr bwMode="auto">
            <a:xfrm rot="454658">
              <a:off x="340" y="1570"/>
              <a:ext cx="1179" cy="136"/>
              <a:chOff x="1973" y="799"/>
              <a:chExt cx="1179" cy="136"/>
            </a:xfrm>
          </xdr:grpSpPr>
          <xdr:sp macro="" textlink="">
            <xdr:nvSpPr>
              <xdr:cNvPr id="17446" name="Line 40"/>
              <xdr:cNvSpPr>
                <a:spLocks noChangeShapeType="1"/>
              </xdr:cNvSpPr>
            </xdr:nvSpPr>
            <xdr:spPr bwMode="auto">
              <a:xfrm>
                <a:off x="1973" y="799"/>
                <a:ext cx="1179" cy="0"/>
              </a:xfrm>
              <a:prstGeom prst="line">
                <a:avLst/>
              </a:prstGeom>
              <a:noFill/>
              <a:ln w="28575">
                <a:solidFill>
                  <a:srgbClr val="996633"/>
                </a:solidFill>
                <a:round/>
                <a:headEnd/>
                <a:tailEnd/>
              </a:ln>
            </xdr:spPr>
          </xdr:sp>
          <xdr:sp macro="" textlink="">
            <xdr:nvSpPr>
              <xdr:cNvPr id="17447" name="Line 41"/>
              <xdr:cNvSpPr>
                <a:spLocks noChangeShapeType="1"/>
              </xdr:cNvSpPr>
            </xdr:nvSpPr>
            <xdr:spPr bwMode="auto">
              <a:xfrm>
                <a:off x="1973" y="935"/>
                <a:ext cx="1179" cy="0"/>
              </a:xfrm>
              <a:prstGeom prst="line">
                <a:avLst/>
              </a:prstGeom>
              <a:noFill/>
              <a:ln w="28575">
                <a:solidFill>
                  <a:srgbClr val="996633"/>
                </a:solidFill>
                <a:round/>
                <a:headEnd/>
                <a:tailEnd/>
              </a:ln>
            </xdr:spPr>
          </xdr:sp>
          <xdr:sp macro="" textlink="">
            <xdr:nvSpPr>
              <xdr:cNvPr id="17448" name="Line 42"/>
              <xdr:cNvSpPr>
                <a:spLocks noChangeShapeType="1"/>
              </xdr:cNvSpPr>
            </xdr:nvSpPr>
            <xdr:spPr bwMode="auto">
              <a:xfrm>
                <a:off x="1973" y="799"/>
                <a:ext cx="0" cy="136"/>
              </a:xfrm>
              <a:prstGeom prst="line">
                <a:avLst/>
              </a:prstGeom>
              <a:noFill/>
              <a:ln w="28575">
                <a:solidFill>
                  <a:srgbClr val="996633"/>
                </a:solidFill>
                <a:round/>
                <a:headEnd/>
                <a:tailEnd/>
              </a:ln>
            </xdr:spPr>
          </xdr:sp>
          <xdr:sp macro="" textlink="">
            <xdr:nvSpPr>
              <xdr:cNvPr id="17449" name="Line 43"/>
              <xdr:cNvSpPr>
                <a:spLocks noChangeShapeType="1"/>
              </xdr:cNvSpPr>
            </xdr:nvSpPr>
            <xdr:spPr bwMode="auto">
              <a:xfrm flipH="1">
                <a:off x="3152" y="799"/>
                <a:ext cx="0" cy="136"/>
              </a:xfrm>
              <a:prstGeom prst="line">
                <a:avLst/>
              </a:prstGeom>
              <a:noFill/>
              <a:ln w="28575">
                <a:solidFill>
                  <a:srgbClr val="996633"/>
                </a:solidFill>
                <a:round/>
                <a:headEnd/>
                <a:tailEnd/>
              </a:ln>
            </xdr:spPr>
          </xdr:sp>
        </xdr:grpSp>
        <xdr:sp macro="" textlink="">
          <xdr:nvSpPr>
            <xdr:cNvPr id="17431" name="Oval 44"/>
            <xdr:cNvSpPr>
              <a:spLocks noChangeArrowheads="1"/>
            </xdr:cNvSpPr>
          </xdr:nvSpPr>
          <xdr:spPr bwMode="auto">
            <a:xfrm>
              <a:off x="431" y="1662"/>
              <a:ext cx="181" cy="181"/>
            </a:xfrm>
            <a:prstGeom prst="ellipse">
              <a:avLst/>
            </a:prstGeom>
            <a:solidFill>
              <a:srgbClr val="996633"/>
            </a:solidFill>
            <a:ln w="9525">
              <a:solidFill>
                <a:srgbClr val="000000"/>
              </a:solidFill>
              <a:round/>
              <a:headEnd/>
              <a:tailEnd/>
            </a:ln>
          </xdr:spPr>
        </xdr:sp>
        <xdr:sp macro="" textlink="">
          <xdr:nvSpPr>
            <xdr:cNvPr id="17432" name="Oval 45"/>
            <xdr:cNvSpPr>
              <a:spLocks noChangeArrowheads="1"/>
            </xdr:cNvSpPr>
          </xdr:nvSpPr>
          <xdr:spPr bwMode="auto">
            <a:xfrm>
              <a:off x="1247" y="1753"/>
              <a:ext cx="181" cy="181"/>
            </a:xfrm>
            <a:prstGeom prst="ellipse">
              <a:avLst/>
            </a:prstGeom>
            <a:solidFill>
              <a:srgbClr val="996633"/>
            </a:solidFill>
            <a:ln w="9525">
              <a:solidFill>
                <a:srgbClr val="000000"/>
              </a:solidFill>
              <a:round/>
              <a:headEnd/>
              <a:tailEnd/>
            </a:ln>
          </xdr:spPr>
        </xdr:sp>
        <xdr:sp macro="" textlink="">
          <xdr:nvSpPr>
            <xdr:cNvPr id="17433" name="Text Box 47"/>
            <xdr:cNvSpPr txBox="1">
              <a:spLocks noChangeArrowheads="1"/>
            </xdr:cNvSpPr>
          </xdr:nvSpPr>
          <xdr:spPr bwMode="auto">
            <a:xfrm rot="418657">
              <a:off x="339" y="1570"/>
              <a:ext cx="1181" cy="175"/>
            </a:xfrm>
            <a:prstGeom prst="rect">
              <a:avLst/>
            </a:prstGeom>
            <a:solidFill>
              <a:srgbClr val="996633"/>
            </a:solidFill>
            <a:ln w="9525">
              <a:solidFill>
                <a:srgbClr val="000000"/>
              </a:solidFill>
              <a:miter lim="800000"/>
              <a:headEnd/>
              <a:tailEnd/>
            </a:ln>
          </xdr:spPr>
        </xdr:sp>
        <xdr:sp macro="" textlink="">
          <xdr:nvSpPr>
            <xdr:cNvPr id="17434" name="Text Box 49"/>
            <xdr:cNvSpPr txBox="1">
              <a:spLocks noChangeArrowheads="1"/>
            </xdr:cNvSpPr>
          </xdr:nvSpPr>
          <xdr:spPr bwMode="auto">
            <a:xfrm rot="418657">
              <a:off x="385" y="1253"/>
              <a:ext cx="1180" cy="175"/>
            </a:xfrm>
            <a:prstGeom prst="rect">
              <a:avLst/>
            </a:prstGeom>
            <a:solidFill>
              <a:srgbClr val="996633"/>
            </a:solidFill>
            <a:ln w="9525">
              <a:solidFill>
                <a:srgbClr val="000000"/>
              </a:solidFill>
              <a:miter lim="800000"/>
              <a:headEnd/>
              <a:tailEnd/>
            </a:ln>
          </xdr:spPr>
        </xdr:sp>
        <xdr:sp macro="" textlink="">
          <xdr:nvSpPr>
            <xdr:cNvPr id="17435" name="Text Box 50"/>
            <xdr:cNvSpPr txBox="1">
              <a:spLocks noChangeArrowheads="1"/>
            </xdr:cNvSpPr>
          </xdr:nvSpPr>
          <xdr:spPr bwMode="auto">
            <a:xfrm rot="418657">
              <a:off x="431" y="934"/>
              <a:ext cx="1180" cy="175"/>
            </a:xfrm>
            <a:prstGeom prst="rect">
              <a:avLst/>
            </a:prstGeom>
            <a:solidFill>
              <a:srgbClr val="996633"/>
            </a:solidFill>
            <a:ln w="9525">
              <a:solidFill>
                <a:srgbClr val="000000"/>
              </a:solidFill>
              <a:miter lim="800000"/>
              <a:headEnd/>
              <a:tailEnd/>
            </a:ln>
          </xdr:spPr>
        </xdr:sp>
        <xdr:sp macro="" textlink="">
          <xdr:nvSpPr>
            <xdr:cNvPr id="17436" name="Text Box 51"/>
            <xdr:cNvSpPr txBox="1">
              <a:spLocks noChangeArrowheads="1"/>
            </xdr:cNvSpPr>
          </xdr:nvSpPr>
          <xdr:spPr bwMode="auto">
            <a:xfrm rot="418657">
              <a:off x="476" y="618"/>
              <a:ext cx="1180" cy="175"/>
            </a:xfrm>
            <a:prstGeom prst="rect">
              <a:avLst/>
            </a:prstGeom>
            <a:solidFill>
              <a:srgbClr val="996633"/>
            </a:solidFill>
            <a:ln w="9525">
              <a:solidFill>
                <a:srgbClr val="000000"/>
              </a:solidFill>
              <a:miter lim="800000"/>
              <a:headEnd/>
              <a:tailEnd/>
            </a:ln>
          </xdr:spPr>
        </xdr:sp>
        <xdr:sp macro="" textlink="">
          <xdr:nvSpPr>
            <xdr:cNvPr id="17437" name="Text Box 52"/>
            <xdr:cNvSpPr txBox="1">
              <a:spLocks noChangeArrowheads="1"/>
            </xdr:cNvSpPr>
          </xdr:nvSpPr>
          <xdr:spPr bwMode="auto">
            <a:xfrm rot="418657">
              <a:off x="522" y="300"/>
              <a:ext cx="1179" cy="175"/>
            </a:xfrm>
            <a:prstGeom prst="rect">
              <a:avLst/>
            </a:prstGeom>
            <a:solidFill>
              <a:srgbClr val="996633"/>
            </a:solidFill>
            <a:ln w="9525">
              <a:solidFill>
                <a:srgbClr val="000000"/>
              </a:solidFill>
              <a:miter lim="800000"/>
              <a:headEnd/>
              <a:tailEnd/>
            </a:ln>
          </xdr:spPr>
        </xdr:sp>
        <xdr:sp macro="" textlink="">
          <xdr:nvSpPr>
            <xdr:cNvPr id="17438" name="Oval 53"/>
            <xdr:cNvSpPr>
              <a:spLocks noChangeArrowheads="1"/>
            </xdr:cNvSpPr>
          </xdr:nvSpPr>
          <xdr:spPr bwMode="auto">
            <a:xfrm>
              <a:off x="839" y="119"/>
              <a:ext cx="181" cy="182"/>
            </a:xfrm>
            <a:prstGeom prst="ellipse">
              <a:avLst/>
            </a:prstGeom>
            <a:solidFill>
              <a:srgbClr val="996633"/>
            </a:solidFill>
            <a:ln w="9525">
              <a:solidFill>
                <a:srgbClr val="000000"/>
              </a:solidFill>
              <a:round/>
              <a:headEnd/>
              <a:tailEnd/>
            </a:ln>
          </xdr:spPr>
        </xdr:sp>
        <xdr:sp macro="" textlink="">
          <xdr:nvSpPr>
            <xdr:cNvPr id="17439" name="Oval 54"/>
            <xdr:cNvSpPr>
              <a:spLocks noChangeArrowheads="1"/>
            </xdr:cNvSpPr>
          </xdr:nvSpPr>
          <xdr:spPr bwMode="auto">
            <a:xfrm>
              <a:off x="1474" y="164"/>
              <a:ext cx="181" cy="181"/>
            </a:xfrm>
            <a:prstGeom prst="ellipse">
              <a:avLst/>
            </a:prstGeom>
            <a:solidFill>
              <a:srgbClr val="996633"/>
            </a:solidFill>
            <a:ln w="9525">
              <a:solidFill>
                <a:srgbClr val="000000"/>
              </a:solidFill>
              <a:round/>
              <a:headEnd/>
              <a:tailEnd/>
            </a:ln>
          </xdr:spPr>
        </xdr:sp>
        <xdr:sp macro="" textlink="">
          <xdr:nvSpPr>
            <xdr:cNvPr id="17440" name="Oval 55"/>
            <xdr:cNvSpPr>
              <a:spLocks noChangeArrowheads="1"/>
            </xdr:cNvSpPr>
          </xdr:nvSpPr>
          <xdr:spPr bwMode="auto">
            <a:xfrm>
              <a:off x="657" y="73"/>
              <a:ext cx="181" cy="181"/>
            </a:xfrm>
            <a:prstGeom prst="ellipse">
              <a:avLst/>
            </a:prstGeom>
            <a:solidFill>
              <a:srgbClr val="996633"/>
            </a:solidFill>
            <a:ln w="9525">
              <a:solidFill>
                <a:srgbClr val="000000"/>
              </a:solidFill>
              <a:round/>
              <a:headEnd/>
              <a:tailEnd/>
            </a:ln>
          </xdr:spPr>
        </xdr:sp>
        <xdr:sp macro="" textlink="">
          <xdr:nvSpPr>
            <xdr:cNvPr id="17441" name="Line 57"/>
            <xdr:cNvSpPr>
              <a:spLocks noChangeShapeType="1"/>
            </xdr:cNvSpPr>
          </xdr:nvSpPr>
          <xdr:spPr bwMode="auto">
            <a:xfrm>
              <a:off x="113" y="1797"/>
              <a:ext cx="1542" cy="182"/>
            </a:xfrm>
            <a:prstGeom prst="line">
              <a:avLst/>
            </a:prstGeom>
            <a:noFill/>
            <a:ln w="19050">
              <a:solidFill>
                <a:srgbClr val="000000"/>
              </a:solidFill>
              <a:round/>
              <a:headEnd/>
              <a:tailEnd/>
            </a:ln>
          </xdr:spPr>
        </xdr:sp>
        <xdr:sp macro="" textlink="">
          <xdr:nvSpPr>
            <xdr:cNvPr id="17442" name="Line 58"/>
            <xdr:cNvSpPr>
              <a:spLocks noChangeShapeType="1"/>
            </xdr:cNvSpPr>
          </xdr:nvSpPr>
          <xdr:spPr bwMode="auto">
            <a:xfrm>
              <a:off x="1519" y="1979"/>
              <a:ext cx="0" cy="0"/>
            </a:xfrm>
            <a:prstGeom prst="line">
              <a:avLst/>
            </a:prstGeom>
            <a:noFill/>
            <a:ln w="9525">
              <a:solidFill>
                <a:srgbClr val="000000"/>
              </a:solidFill>
              <a:round/>
              <a:headEnd/>
              <a:tailEnd/>
            </a:ln>
          </xdr:spPr>
        </xdr:sp>
        <xdr:sp macro="" textlink="">
          <xdr:nvSpPr>
            <xdr:cNvPr id="17443" name="Oval 59"/>
            <xdr:cNvSpPr>
              <a:spLocks noChangeArrowheads="1"/>
            </xdr:cNvSpPr>
          </xdr:nvSpPr>
          <xdr:spPr bwMode="auto">
            <a:xfrm>
              <a:off x="1519" y="1842"/>
              <a:ext cx="136" cy="137"/>
            </a:xfrm>
            <a:prstGeom prst="ellipse">
              <a:avLst/>
            </a:prstGeom>
            <a:solidFill>
              <a:srgbClr val="000000"/>
            </a:solidFill>
            <a:ln w="28575">
              <a:solidFill>
                <a:srgbClr val="0066FF"/>
              </a:solidFill>
              <a:round/>
              <a:headEnd/>
              <a:tailEnd/>
            </a:ln>
          </xdr:spPr>
        </xdr:sp>
        <xdr:sp macro="" textlink="">
          <xdr:nvSpPr>
            <xdr:cNvPr id="17444" name="Line 60"/>
            <xdr:cNvSpPr>
              <a:spLocks noChangeShapeType="1"/>
            </xdr:cNvSpPr>
          </xdr:nvSpPr>
          <xdr:spPr bwMode="auto">
            <a:xfrm flipV="1">
              <a:off x="1655" y="119"/>
              <a:ext cx="409" cy="1860"/>
            </a:xfrm>
            <a:prstGeom prst="line">
              <a:avLst/>
            </a:prstGeom>
            <a:noFill/>
            <a:ln w="19050">
              <a:solidFill>
                <a:srgbClr val="000000"/>
              </a:solidFill>
              <a:round/>
              <a:headEnd/>
              <a:tailEnd/>
            </a:ln>
          </xdr:spPr>
        </xdr:sp>
        <xdr:sp macro="" textlink="">
          <xdr:nvSpPr>
            <xdr:cNvPr id="17445" name="Line 61"/>
            <xdr:cNvSpPr>
              <a:spLocks noChangeShapeType="1"/>
            </xdr:cNvSpPr>
          </xdr:nvSpPr>
          <xdr:spPr bwMode="auto">
            <a:xfrm flipH="1">
              <a:off x="0" y="1797"/>
              <a:ext cx="113" cy="136"/>
            </a:xfrm>
            <a:prstGeom prst="line">
              <a:avLst/>
            </a:prstGeom>
            <a:noFill/>
            <a:ln w="28575">
              <a:solidFill>
                <a:srgbClr val="000000"/>
              </a:solidFill>
              <a:round/>
              <a:headEnd/>
              <a:tailEnd/>
            </a:ln>
          </xdr:spPr>
        </xdr:sp>
      </xdr:grpSp>
      <xdr:grpSp>
        <xdr:nvGrpSpPr>
          <xdr:cNvPr id="17415" name="Group 424"/>
          <xdr:cNvGrpSpPr>
            <a:grpSpLocks/>
          </xdr:cNvGrpSpPr>
        </xdr:nvGrpSpPr>
        <xdr:grpSpPr bwMode="auto">
          <a:xfrm>
            <a:off x="611187" y="404814"/>
            <a:ext cx="1296984" cy="2592388"/>
            <a:chOff x="385" y="255"/>
            <a:chExt cx="817" cy="1633"/>
          </a:xfrm>
        </xdr:grpSpPr>
        <xdr:sp macro="" textlink="">
          <xdr:nvSpPr>
            <xdr:cNvPr id="17416" name="Oval 370"/>
            <xdr:cNvSpPr>
              <a:spLocks noChangeArrowheads="1"/>
            </xdr:cNvSpPr>
          </xdr:nvSpPr>
          <xdr:spPr bwMode="auto">
            <a:xfrm>
              <a:off x="1066" y="1616"/>
              <a:ext cx="91" cy="90"/>
            </a:xfrm>
            <a:prstGeom prst="ellipse">
              <a:avLst/>
            </a:prstGeom>
            <a:solidFill>
              <a:srgbClr val="FF0000"/>
            </a:solidFill>
            <a:ln w="9525">
              <a:solidFill>
                <a:srgbClr val="FF0000"/>
              </a:solidFill>
              <a:round/>
              <a:headEnd/>
              <a:tailEnd/>
            </a:ln>
          </xdr:spPr>
        </xdr:sp>
        <xdr:sp macro="" textlink="">
          <xdr:nvSpPr>
            <xdr:cNvPr id="17417" name="AutoShape 376"/>
            <xdr:cNvSpPr>
              <a:spLocks noChangeArrowheads="1"/>
            </xdr:cNvSpPr>
          </xdr:nvSpPr>
          <xdr:spPr bwMode="auto">
            <a:xfrm rot="9223832" flipV="1">
              <a:off x="703" y="1661"/>
              <a:ext cx="363" cy="227"/>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60000 65536"/>
                <a:gd name="T13" fmla="*/ 0 60000 65536"/>
                <a:gd name="T14" fmla="*/ 0 60000 65536"/>
                <a:gd name="T15" fmla="*/ 0 60000 65536"/>
                <a:gd name="T16" fmla="*/ 0 60000 65536"/>
                <a:gd name="T17" fmla="*/ 0 60000 65536"/>
                <a:gd name="T18" fmla="*/ 3154 w 21600"/>
                <a:gd name="T19" fmla="*/ 3140 h 21600"/>
                <a:gd name="T20" fmla="*/ 18446 w 21600"/>
                <a:gd name="T21" fmla="*/ 1846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6200" y="10800"/>
                  </a:moveTo>
                  <a:cubicBezTo>
                    <a:pt x="16200" y="7817"/>
                    <a:pt x="13782" y="5400"/>
                    <a:pt x="10800" y="5400"/>
                  </a:cubicBezTo>
                  <a:cubicBezTo>
                    <a:pt x="7817" y="5400"/>
                    <a:pt x="5400" y="7817"/>
                    <a:pt x="5400" y="10800"/>
                  </a:cubicBezTo>
                  <a:lnTo>
                    <a:pt x="0" y="10800"/>
                  </a:lnTo>
                  <a:cubicBezTo>
                    <a:pt x="0" y="4835"/>
                    <a:pt x="4835" y="0"/>
                    <a:pt x="10800" y="0"/>
                  </a:cubicBezTo>
                  <a:cubicBezTo>
                    <a:pt x="16764" y="0"/>
                    <a:pt x="21599" y="4835"/>
                    <a:pt x="21600" y="10799"/>
                  </a:cubicBezTo>
                  <a:lnTo>
                    <a:pt x="21600" y="10800"/>
                  </a:lnTo>
                  <a:lnTo>
                    <a:pt x="24300" y="10800"/>
                  </a:lnTo>
                  <a:lnTo>
                    <a:pt x="18900" y="16200"/>
                  </a:lnTo>
                  <a:lnTo>
                    <a:pt x="13500" y="10800"/>
                  </a:lnTo>
                  <a:lnTo>
                    <a:pt x="16200" y="10800"/>
                  </a:lnTo>
                  <a:close/>
                </a:path>
              </a:pathLst>
            </a:custGeom>
            <a:solidFill>
              <a:srgbClr val="FF0000"/>
            </a:solidFill>
            <a:ln w="9525">
              <a:solidFill>
                <a:srgbClr val="000000"/>
              </a:solidFill>
              <a:miter lim="800000"/>
              <a:headEnd/>
              <a:tailEnd/>
            </a:ln>
          </xdr:spPr>
        </xdr:sp>
        <xdr:sp macro="" textlink="">
          <xdr:nvSpPr>
            <xdr:cNvPr id="17418" name="AutoShape 373"/>
            <xdr:cNvSpPr>
              <a:spLocks noChangeArrowheads="1"/>
            </xdr:cNvSpPr>
          </xdr:nvSpPr>
          <xdr:spPr bwMode="auto">
            <a:xfrm rot="9223832" flipV="1">
              <a:off x="385" y="255"/>
              <a:ext cx="771" cy="409"/>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60000 65536"/>
                <a:gd name="T13" fmla="*/ 0 60000 65536"/>
                <a:gd name="T14" fmla="*/ 0 60000 65536"/>
                <a:gd name="T15" fmla="*/ 0 60000 65536"/>
                <a:gd name="T16" fmla="*/ 0 60000 65536"/>
                <a:gd name="T17" fmla="*/ 0 60000 65536"/>
                <a:gd name="T18" fmla="*/ 3166 w 21600"/>
                <a:gd name="T19" fmla="*/ 3169 h 21600"/>
                <a:gd name="T20" fmla="*/ 18434 w 21600"/>
                <a:gd name="T21" fmla="*/ 18431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6200" y="10800"/>
                  </a:moveTo>
                  <a:cubicBezTo>
                    <a:pt x="16200" y="7817"/>
                    <a:pt x="13782" y="5400"/>
                    <a:pt x="10800" y="5400"/>
                  </a:cubicBezTo>
                  <a:cubicBezTo>
                    <a:pt x="7817" y="5400"/>
                    <a:pt x="5400" y="7817"/>
                    <a:pt x="5400" y="10800"/>
                  </a:cubicBezTo>
                  <a:lnTo>
                    <a:pt x="0" y="10800"/>
                  </a:lnTo>
                  <a:cubicBezTo>
                    <a:pt x="0" y="4835"/>
                    <a:pt x="4835" y="0"/>
                    <a:pt x="10800" y="0"/>
                  </a:cubicBezTo>
                  <a:cubicBezTo>
                    <a:pt x="16764" y="0"/>
                    <a:pt x="21599" y="4835"/>
                    <a:pt x="21600" y="10799"/>
                  </a:cubicBezTo>
                  <a:lnTo>
                    <a:pt x="21600" y="10800"/>
                  </a:lnTo>
                  <a:lnTo>
                    <a:pt x="24300" y="10800"/>
                  </a:lnTo>
                  <a:lnTo>
                    <a:pt x="18900" y="16200"/>
                  </a:lnTo>
                  <a:lnTo>
                    <a:pt x="13500" y="10800"/>
                  </a:lnTo>
                  <a:lnTo>
                    <a:pt x="16200" y="10800"/>
                  </a:lnTo>
                  <a:close/>
                </a:path>
              </a:pathLst>
            </a:custGeom>
            <a:solidFill>
              <a:srgbClr val="FF0000"/>
            </a:solidFill>
            <a:ln w="9525">
              <a:solidFill>
                <a:srgbClr val="000000"/>
              </a:solidFill>
              <a:miter lim="800000"/>
              <a:headEnd/>
              <a:tailEnd/>
            </a:ln>
          </xdr:spPr>
        </xdr:sp>
        <xdr:sp macro="" textlink="">
          <xdr:nvSpPr>
            <xdr:cNvPr id="17419" name="AutoShape 374"/>
            <xdr:cNvSpPr>
              <a:spLocks noChangeArrowheads="1"/>
            </xdr:cNvSpPr>
          </xdr:nvSpPr>
          <xdr:spPr bwMode="auto">
            <a:xfrm rot="9223832" flipV="1">
              <a:off x="612" y="618"/>
              <a:ext cx="590" cy="499"/>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60000 65536"/>
                <a:gd name="T13" fmla="*/ 0 60000 65536"/>
                <a:gd name="T14" fmla="*/ 0 60000 65536"/>
                <a:gd name="T15" fmla="*/ 0 60000 65536"/>
                <a:gd name="T16" fmla="*/ 0 60000 65536"/>
                <a:gd name="T17" fmla="*/ 0 60000 65536"/>
                <a:gd name="T18" fmla="*/ 3148 w 21600"/>
                <a:gd name="T19" fmla="*/ 3160 h 21600"/>
                <a:gd name="T20" fmla="*/ 18452 w 21600"/>
                <a:gd name="T21" fmla="*/ 1844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6200" y="10800"/>
                  </a:moveTo>
                  <a:cubicBezTo>
                    <a:pt x="16200" y="7817"/>
                    <a:pt x="13782" y="5400"/>
                    <a:pt x="10800" y="5400"/>
                  </a:cubicBezTo>
                  <a:cubicBezTo>
                    <a:pt x="8639" y="5399"/>
                    <a:pt x="6687" y="6687"/>
                    <a:pt x="5836" y="8672"/>
                  </a:cubicBezTo>
                  <a:lnTo>
                    <a:pt x="873" y="6545"/>
                  </a:lnTo>
                  <a:cubicBezTo>
                    <a:pt x="2575" y="2574"/>
                    <a:pt x="6479" y="-1"/>
                    <a:pt x="10800" y="0"/>
                  </a:cubicBezTo>
                  <a:cubicBezTo>
                    <a:pt x="16764" y="0"/>
                    <a:pt x="21599" y="4835"/>
                    <a:pt x="21600" y="10799"/>
                  </a:cubicBezTo>
                  <a:lnTo>
                    <a:pt x="21600" y="10800"/>
                  </a:lnTo>
                  <a:lnTo>
                    <a:pt x="24300" y="10800"/>
                  </a:lnTo>
                  <a:lnTo>
                    <a:pt x="18900" y="16200"/>
                  </a:lnTo>
                  <a:lnTo>
                    <a:pt x="13500" y="10800"/>
                  </a:lnTo>
                  <a:lnTo>
                    <a:pt x="16200" y="10800"/>
                  </a:lnTo>
                  <a:close/>
                </a:path>
              </a:pathLst>
            </a:custGeom>
            <a:solidFill>
              <a:srgbClr val="FF0000"/>
            </a:solidFill>
            <a:ln w="9525">
              <a:solidFill>
                <a:srgbClr val="000000"/>
              </a:solidFill>
              <a:miter lim="800000"/>
              <a:headEnd/>
              <a:tailEnd/>
            </a:ln>
          </xdr:spPr>
        </xdr:sp>
        <xdr:sp macro="" textlink="">
          <xdr:nvSpPr>
            <xdr:cNvPr id="17420" name="AutoShape 375"/>
            <xdr:cNvSpPr>
              <a:spLocks noChangeArrowheads="1"/>
            </xdr:cNvSpPr>
          </xdr:nvSpPr>
          <xdr:spPr bwMode="auto">
            <a:xfrm rot="9223832" flipV="1">
              <a:off x="703" y="1117"/>
              <a:ext cx="363" cy="317"/>
            </a:xfrm>
            <a:custGeom>
              <a:avLst/>
              <a:gdLst>
                <a:gd name="T0" fmla="*/ 0 w 21600"/>
                <a:gd name="T1" fmla="*/ 0 h 21600"/>
                <a:gd name="T2" fmla="*/ 0 w 21600"/>
                <a:gd name="T3" fmla="*/ 0 h 21600"/>
                <a:gd name="T4" fmla="*/ 0 w 21600"/>
                <a:gd name="T5" fmla="*/ 0 h 21600"/>
                <a:gd name="T6" fmla="*/ 0 w 21600"/>
                <a:gd name="T7" fmla="*/ 0 h 21600"/>
                <a:gd name="T8" fmla="*/ 0 w 21600"/>
                <a:gd name="T9" fmla="*/ 0 h 21600"/>
                <a:gd name="T10" fmla="*/ 0 w 21600"/>
                <a:gd name="T11" fmla="*/ 0 h 21600"/>
                <a:gd name="T12" fmla="*/ 0 60000 65536"/>
                <a:gd name="T13" fmla="*/ 0 60000 65536"/>
                <a:gd name="T14" fmla="*/ 0 60000 65536"/>
                <a:gd name="T15" fmla="*/ 0 60000 65536"/>
                <a:gd name="T16" fmla="*/ 0 60000 65536"/>
                <a:gd name="T17" fmla="*/ 0 60000 65536"/>
                <a:gd name="T18" fmla="*/ 3154 w 21600"/>
                <a:gd name="T19" fmla="*/ 3134 h 21600"/>
                <a:gd name="T20" fmla="*/ 18446 w 21600"/>
                <a:gd name="T21" fmla="*/ 18466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6200" y="10800"/>
                  </a:moveTo>
                  <a:cubicBezTo>
                    <a:pt x="16200" y="7817"/>
                    <a:pt x="13782" y="5400"/>
                    <a:pt x="10800" y="5400"/>
                  </a:cubicBezTo>
                  <a:cubicBezTo>
                    <a:pt x="7817" y="5400"/>
                    <a:pt x="5400" y="7817"/>
                    <a:pt x="5400" y="10800"/>
                  </a:cubicBezTo>
                  <a:lnTo>
                    <a:pt x="0" y="10800"/>
                  </a:lnTo>
                  <a:cubicBezTo>
                    <a:pt x="0" y="4835"/>
                    <a:pt x="4835" y="0"/>
                    <a:pt x="10800" y="0"/>
                  </a:cubicBezTo>
                  <a:cubicBezTo>
                    <a:pt x="16764" y="0"/>
                    <a:pt x="21599" y="4835"/>
                    <a:pt x="21600" y="10799"/>
                  </a:cubicBezTo>
                  <a:lnTo>
                    <a:pt x="21600" y="10800"/>
                  </a:lnTo>
                  <a:lnTo>
                    <a:pt x="24300" y="10800"/>
                  </a:lnTo>
                  <a:lnTo>
                    <a:pt x="18900" y="16200"/>
                  </a:lnTo>
                  <a:lnTo>
                    <a:pt x="13500" y="10800"/>
                  </a:lnTo>
                  <a:lnTo>
                    <a:pt x="16200" y="10800"/>
                  </a:lnTo>
                  <a:close/>
                </a:path>
              </a:pathLst>
            </a:custGeom>
            <a:solidFill>
              <a:srgbClr val="FF0000"/>
            </a:solidFill>
            <a:ln w="9525">
              <a:solidFill>
                <a:srgbClr val="000000"/>
              </a:solidFill>
              <a:miter lim="800000"/>
              <a:headEnd/>
              <a:tailEnd/>
            </a:ln>
          </xdr:spPr>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1133475</xdr:colOff>
      <xdr:row>56</xdr:row>
      <xdr:rowOff>104775</xdr:rowOff>
    </xdr:from>
    <xdr:to>
      <xdr:col>4</xdr:col>
      <xdr:colOff>542925</xdr:colOff>
      <xdr:row>58</xdr:row>
      <xdr:rowOff>95250</xdr:rowOff>
    </xdr:to>
    <xdr:pic>
      <xdr:nvPicPr>
        <xdr:cNvPr id="18433"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352675" y="11191875"/>
          <a:ext cx="3590925" cy="390525"/>
        </a:xfrm>
        <a:prstGeom prst="rect">
          <a:avLst/>
        </a:prstGeom>
        <a:noFill/>
        <a:ln w="9525">
          <a:noFill/>
          <a:miter lim="800000"/>
          <a:headEnd/>
          <a:tailEnd/>
        </a:ln>
      </xdr:spPr>
    </xdr:pic>
    <xdr:clientData/>
  </xdr:twoCellAnchor>
  <xdr:twoCellAnchor>
    <xdr:from>
      <xdr:col>2</xdr:col>
      <xdr:colOff>47625</xdr:colOff>
      <xdr:row>14</xdr:row>
      <xdr:rowOff>9525</xdr:rowOff>
    </xdr:from>
    <xdr:to>
      <xdr:col>2</xdr:col>
      <xdr:colOff>647700</xdr:colOff>
      <xdr:row>15</xdr:row>
      <xdr:rowOff>123825</xdr:rowOff>
    </xdr:to>
    <xdr:pic>
      <xdr:nvPicPr>
        <xdr:cNvPr id="18434"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266825" y="2790825"/>
          <a:ext cx="600075" cy="304800"/>
        </a:xfrm>
        <a:prstGeom prst="rect">
          <a:avLst/>
        </a:prstGeom>
        <a:noFill/>
        <a:ln w="9525">
          <a:noFill/>
          <a:miter lim="800000"/>
          <a:headEnd/>
          <a:tailEnd/>
        </a:ln>
      </xdr:spPr>
    </xdr:pic>
    <xdr:clientData/>
  </xdr:twoCellAnchor>
  <xdr:twoCellAnchor>
    <xdr:from>
      <xdr:col>2</xdr:col>
      <xdr:colOff>1314450</xdr:colOff>
      <xdr:row>30</xdr:row>
      <xdr:rowOff>85725</xdr:rowOff>
    </xdr:from>
    <xdr:to>
      <xdr:col>2</xdr:col>
      <xdr:colOff>3133725</xdr:colOff>
      <xdr:row>32</xdr:row>
      <xdr:rowOff>47625</xdr:rowOff>
    </xdr:to>
    <xdr:pic>
      <xdr:nvPicPr>
        <xdr:cNvPr id="18435" name="Picture 4"/>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2533650" y="5915025"/>
          <a:ext cx="1790700" cy="342900"/>
        </a:xfrm>
        <a:prstGeom prst="rect">
          <a:avLst/>
        </a:prstGeom>
        <a:noFill/>
        <a:ln w="9525">
          <a:noFill/>
          <a:miter lim="800000"/>
          <a:headEnd/>
          <a:tailEnd/>
        </a:ln>
      </xdr:spPr>
    </xdr:pic>
    <xdr:clientData/>
  </xdr:twoCellAnchor>
  <xdr:twoCellAnchor editAs="oneCell">
    <xdr:from>
      <xdr:col>10</xdr:col>
      <xdr:colOff>152400</xdr:colOff>
      <xdr:row>23</xdr:row>
      <xdr:rowOff>171450</xdr:rowOff>
    </xdr:from>
    <xdr:to>
      <xdr:col>17</xdr:col>
      <xdr:colOff>19050</xdr:colOff>
      <xdr:row>36</xdr:row>
      <xdr:rowOff>133350</xdr:rowOff>
    </xdr:to>
    <xdr:pic>
      <xdr:nvPicPr>
        <xdr:cNvPr id="18436" name="Immagine 6" descr="fig. 42.jpg"/>
        <xdr:cNvPicPr>
          <a:picLocks noChangeAspect="1" noChangeArrowheads="1"/>
        </xdr:cNvPicPr>
      </xdr:nvPicPr>
      <xdr:blipFill>
        <a:blip xmlns:r="http://schemas.openxmlformats.org/officeDocument/2006/relationships" r:embed="rId4" cstate="print"/>
        <a:srcRect b="24808"/>
        <a:stretch>
          <a:fillRect/>
        </a:stretch>
      </xdr:blipFill>
      <xdr:spPr bwMode="auto">
        <a:xfrm>
          <a:off x="9210675" y="4667250"/>
          <a:ext cx="4981575" cy="2438400"/>
        </a:xfrm>
        <a:prstGeom prst="rect">
          <a:avLst/>
        </a:prstGeom>
        <a:noFill/>
        <a:ln w="9525">
          <a:noFill/>
          <a:miter lim="800000"/>
          <a:headEnd/>
          <a:tailEnd/>
        </a:ln>
      </xdr:spPr>
    </xdr:pic>
    <xdr:clientData/>
  </xdr:twoCellAnchor>
  <xdr:twoCellAnchor>
    <xdr:from>
      <xdr:col>11</xdr:col>
      <xdr:colOff>247650</xdr:colOff>
      <xdr:row>6</xdr:row>
      <xdr:rowOff>0</xdr:rowOff>
    </xdr:from>
    <xdr:to>
      <xdr:col>14</xdr:col>
      <xdr:colOff>590550</xdr:colOff>
      <xdr:row>19</xdr:row>
      <xdr:rowOff>133350</xdr:rowOff>
    </xdr:to>
    <xdr:grpSp>
      <xdr:nvGrpSpPr>
        <xdr:cNvPr id="18437" name="Gruppo 5"/>
        <xdr:cNvGrpSpPr>
          <a:grpSpLocks/>
        </xdr:cNvGrpSpPr>
      </xdr:nvGrpSpPr>
      <xdr:grpSpPr bwMode="auto">
        <a:xfrm>
          <a:off x="10544175" y="1152525"/>
          <a:ext cx="2390775" cy="2714625"/>
          <a:chOff x="5435600" y="3429001"/>
          <a:chExt cx="2663827" cy="2809876"/>
        </a:xfrm>
      </xdr:grpSpPr>
      <xdr:grpSp>
        <xdr:nvGrpSpPr>
          <xdr:cNvPr id="18438" name="Group 267"/>
          <xdr:cNvGrpSpPr>
            <a:grpSpLocks/>
          </xdr:cNvGrpSpPr>
        </xdr:nvGrpSpPr>
        <xdr:grpSpPr bwMode="auto">
          <a:xfrm>
            <a:off x="5435600" y="3573462"/>
            <a:ext cx="2663827" cy="2593978"/>
            <a:chOff x="0" y="73"/>
            <a:chExt cx="2064" cy="1906"/>
          </a:xfrm>
        </xdr:grpSpPr>
        <xdr:grpSp>
          <xdr:nvGrpSpPr>
            <xdr:cNvPr id="18446" name="Group 268"/>
            <xdr:cNvGrpSpPr>
              <a:grpSpLocks/>
            </xdr:cNvGrpSpPr>
          </xdr:nvGrpSpPr>
          <xdr:grpSpPr bwMode="auto">
            <a:xfrm>
              <a:off x="522" y="300"/>
              <a:ext cx="1179" cy="364"/>
              <a:chOff x="1973" y="799"/>
              <a:chExt cx="1179" cy="364"/>
            </a:xfrm>
          </xdr:grpSpPr>
          <xdr:grpSp>
            <xdr:nvGrpSpPr>
              <xdr:cNvPr id="18489" name="Group 269"/>
              <xdr:cNvGrpSpPr>
                <a:grpSpLocks/>
              </xdr:cNvGrpSpPr>
            </xdr:nvGrpSpPr>
            <xdr:grpSpPr bwMode="auto">
              <a:xfrm rot="454658">
                <a:off x="1973" y="799"/>
                <a:ext cx="1179" cy="136"/>
                <a:chOff x="1973" y="799"/>
                <a:chExt cx="1179" cy="136"/>
              </a:xfrm>
            </xdr:grpSpPr>
            <xdr:sp macro="" textlink="">
              <xdr:nvSpPr>
                <xdr:cNvPr id="18492" name="Line 270"/>
                <xdr:cNvSpPr>
                  <a:spLocks noChangeShapeType="1"/>
                </xdr:cNvSpPr>
              </xdr:nvSpPr>
              <xdr:spPr bwMode="auto">
                <a:xfrm>
                  <a:off x="1973" y="799"/>
                  <a:ext cx="1179" cy="0"/>
                </a:xfrm>
                <a:prstGeom prst="line">
                  <a:avLst/>
                </a:prstGeom>
                <a:noFill/>
                <a:ln w="9525">
                  <a:solidFill>
                    <a:srgbClr val="000000"/>
                  </a:solidFill>
                  <a:round/>
                  <a:headEnd/>
                  <a:tailEnd/>
                </a:ln>
              </xdr:spPr>
            </xdr:sp>
            <xdr:sp macro="" textlink="">
              <xdr:nvSpPr>
                <xdr:cNvPr id="18493" name="Line 271"/>
                <xdr:cNvSpPr>
                  <a:spLocks noChangeShapeType="1"/>
                </xdr:cNvSpPr>
              </xdr:nvSpPr>
              <xdr:spPr bwMode="auto">
                <a:xfrm>
                  <a:off x="1973" y="935"/>
                  <a:ext cx="1179" cy="0"/>
                </a:xfrm>
                <a:prstGeom prst="line">
                  <a:avLst/>
                </a:prstGeom>
                <a:noFill/>
                <a:ln w="9525">
                  <a:solidFill>
                    <a:srgbClr val="000000"/>
                  </a:solidFill>
                  <a:round/>
                  <a:headEnd/>
                  <a:tailEnd/>
                </a:ln>
              </xdr:spPr>
            </xdr:sp>
            <xdr:sp macro="" textlink="">
              <xdr:nvSpPr>
                <xdr:cNvPr id="18494" name="Line 272"/>
                <xdr:cNvSpPr>
                  <a:spLocks noChangeShapeType="1"/>
                </xdr:cNvSpPr>
              </xdr:nvSpPr>
              <xdr:spPr bwMode="auto">
                <a:xfrm>
                  <a:off x="1973" y="799"/>
                  <a:ext cx="0" cy="136"/>
                </a:xfrm>
                <a:prstGeom prst="line">
                  <a:avLst/>
                </a:prstGeom>
                <a:noFill/>
                <a:ln w="9525">
                  <a:solidFill>
                    <a:srgbClr val="000000"/>
                  </a:solidFill>
                  <a:round/>
                  <a:headEnd/>
                  <a:tailEnd/>
                </a:ln>
              </xdr:spPr>
            </xdr:sp>
            <xdr:sp macro="" textlink="">
              <xdr:nvSpPr>
                <xdr:cNvPr id="18495" name="Line 273"/>
                <xdr:cNvSpPr>
                  <a:spLocks noChangeShapeType="1"/>
                </xdr:cNvSpPr>
              </xdr:nvSpPr>
              <xdr:spPr bwMode="auto">
                <a:xfrm flipH="1">
                  <a:off x="3152" y="799"/>
                  <a:ext cx="0" cy="136"/>
                </a:xfrm>
                <a:prstGeom prst="line">
                  <a:avLst/>
                </a:prstGeom>
                <a:noFill/>
                <a:ln w="9525">
                  <a:solidFill>
                    <a:srgbClr val="000000"/>
                  </a:solidFill>
                  <a:round/>
                  <a:headEnd/>
                  <a:tailEnd/>
                </a:ln>
              </xdr:spPr>
            </xdr:sp>
          </xdr:grpSp>
          <xdr:sp macro="" textlink="">
            <xdr:nvSpPr>
              <xdr:cNvPr id="18490" name="Oval 274"/>
              <xdr:cNvSpPr>
                <a:spLocks noChangeArrowheads="1"/>
              </xdr:cNvSpPr>
            </xdr:nvSpPr>
            <xdr:spPr bwMode="auto">
              <a:xfrm>
                <a:off x="2064" y="891"/>
                <a:ext cx="181" cy="181"/>
              </a:xfrm>
              <a:prstGeom prst="ellipse">
                <a:avLst/>
              </a:prstGeom>
              <a:solidFill>
                <a:srgbClr val="996633"/>
              </a:solidFill>
              <a:ln w="9525">
                <a:solidFill>
                  <a:srgbClr val="000000"/>
                </a:solidFill>
                <a:round/>
                <a:headEnd/>
                <a:tailEnd/>
              </a:ln>
            </xdr:spPr>
          </xdr:sp>
          <xdr:sp macro="" textlink="">
            <xdr:nvSpPr>
              <xdr:cNvPr id="18491" name="Oval 275"/>
              <xdr:cNvSpPr>
                <a:spLocks noChangeArrowheads="1"/>
              </xdr:cNvSpPr>
            </xdr:nvSpPr>
            <xdr:spPr bwMode="auto">
              <a:xfrm>
                <a:off x="2880" y="982"/>
                <a:ext cx="181" cy="181"/>
              </a:xfrm>
              <a:prstGeom prst="ellipse">
                <a:avLst/>
              </a:prstGeom>
              <a:solidFill>
                <a:srgbClr val="996633"/>
              </a:solidFill>
              <a:ln w="9525">
                <a:solidFill>
                  <a:srgbClr val="000000"/>
                </a:solidFill>
                <a:round/>
                <a:headEnd/>
                <a:tailEnd/>
              </a:ln>
            </xdr:spPr>
          </xdr:sp>
        </xdr:grpSp>
        <xdr:grpSp>
          <xdr:nvGrpSpPr>
            <xdr:cNvPr id="18447" name="Group 276"/>
            <xdr:cNvGrpSpPr>
              <a:grpSpLocks/>
            </xdr:cNvGrpSpPr>
          </xdr:nvGrpSpPr>
          <xdr:grpSpPr bwMode="auto">
            <a:xfrm>
              <a:off x="477" y="618"/>
              <a:ext cx="1179" cy="364"/>
              <a:chOff x="1973" y="799"/>
              <a:chExt cx="1179" cy="364"/>
            </a:xfrm>
          </xdr:grpSpPr>
          <xdr:grpSp>
            <xdr:nvGrpSpPr>
              <xdr:cNvPr id="18482" name="Group 277"/>
              <xdr:cNvGrpSpPr>
                <a:grpSpLocks/>
              </xdr:cNvGrpSpPr>
            </xdr:nvGrpSpPr>
            <xdr:grpSpPr bwMode="auto">
              <a:xfrm rot="454658">
                <a:off x="1973" y="799"/>
                <a:ext cx="1179" cy="136"/>
                <a:chOff x="1973" y="799"/>
                <a:chExt cx="1179" cy="136"/>
              </a:xfrm>
            </xdr:grpSpPr>
            <xdr:sp macro="" textlink="">
              <xdr:nvSpPr>
                <xdr:cNvPr id="18485" name="Line 278"/>
                <xdr:cNvSpPr>
                  <a:spLocks noChangeShapeType="1"/>
                </xdr:cNvSpPr>
              </xdr:nvSpPr>
              <xdr:spPr bwMode="auto">
                <a:xfrm>
                  <a:off x="1973" y="799"/>
                  <a:ext cx="1179" cy="0"/>
                </a:xfrm>
                <a:prstGeom prst="line">
                  <a:avLst/>
                </a:prstGeom>
                <a:noFill/>
                <a:ln w="9525">
                  <a:solidFill>
                    <a:srgbClr val="000000"/>
                  </a:solidFill>
                  <a:round/>
                  <a:headEnd/>
                  <a:tailEnd/>
                </a:ln>
              </xdr:spPr>
            </xdr:sp>
            <xdr:sp macro="" textlink="">
              <xdr:nvSpPr>
                <xdr:cNvPr id="18486" name="Line 279"/>
                <xdr:cNvSpPr>
                  <a:spLocks noChangeShapeType="1"/>
                </xdr:cNvSpPr>
              </xdr:nvSpPr>
              <xdr:spPr bwMode="auto">
                <a:xfrm>
                  <a:off x="1973" y="935"/>
                  <a:ext cx="1179" cy="0"/>
                </a:xfrm>
                <a:prstGeom prst="line">
                  <a:avLst/>
                </a:prstGeom>
                <a:noFill/>
                <a:ln w="9525">
                  <a:solidFill>
                    <a:srgbClr val="000000"/>
                  </a:solidFill>
                  <a:round/>
                  <a:headEnd/>
                  <a:tailEnd/>
                </a:ln>
              </xdr:spPr>
            </xdr:sp>
            <xdr:sp macro="" textlink="">
              <xdr:nvSpPr>
                <xdr:cNvPr id="18487" name="Line 280"/>
                <xdr:cNvSpPr>
                  <a:spLocks noChangeShapeType="1"/>
                </xdr:cNvSpPr>
              </xdr:nvSpPr>
              <xdr:spPr bwMode="auto">
                <a:xfrm>
                  <a:off x="1973" y="799"/>
                  <a:ext cx="0" cy="136"/>
                </a:xfrm>
                <a:prstGeom prst="line">
                  <a:avLst/>
                </a:prstGeom>
                <a:noFill/>
                <a:ln w="9525">
                  <a:solidFill>
                    <a:srgbClr val="000000"/>
                  </a:solidFill>
                  <a:round/>
                  <a:headEnd/>
                  <a:tailEnd/>
                </a:ln>
              </xdr:spPr>
            </xdr:sp>
            <xdr:sp macro="" textlink="">
              <xdr:nvSpPr>
                <xdr:cNvPr id="18488" name="Line 281"/>
                <xdr:cNvSpPr>
                  <a:spLocks noChangeShapeType="1"/>
                </xdr:cNvSpPr>
              </xdr:nvSpPr>
              <xdr:spPr bwMode="auto">
                <a:xfrm flipH="1">
                  <a:off x="3152" y="799"/>
                  <a:ext cx="0" cy="136"/>
                </a:xfrm>
                <a:prstGeom prst="line">
                  <a:avLst/>
                </a:prstGeom>
                <a:noFill/>
                <a:ln w="9525">
                  <a:solidFill>
                    <a:srgbClr val="000000"/>
                  </a:solidFill>
                  <a:round/>
                  <a:headEnd/>
                  <a:tailEnd/>
                </a:ln>
              </xdr:spPr>
            </xdr:sp>
          </xdr:grpSp>
          <xdr:sp macro="" textlink="">
            <xdr:nvSpPr>
              <xdr:cNvPr id="18483" name="Oval 282"/>
              <xdr:cNvSpPr>
                <a:spLocks noChangeArrowheads="1"/>
              </xdr:cNvSpPr>
            </xdr:nvSpPr>
            <xdr:spPr bwMode="auto">
              <a:xfrm>
                <a:off x="2064" y="891"/>
                <a:ext cx="181" cy="181"/>
              </a:xfrm>
              <a:prstGeom prst="ellipse">
                <a:avLst/>
              </a:prstGeom>
              <a:solidFill>
                <a:srgbClr val="996633"/>
              </a:solidFill>
              <a:ln w="9525">
                <a:solidFill>
                  <a:srgbClr val="000000"/>
                </a:solidFill>
                <a:round/>
                <a:headEnd/>
                <a:tailEnd/>
              </a:ln>
            </xdr:spPr>
          </xdr:sp>
          <xdr:sp macro="" textlink="">
            <xdr:nvSpPr>
              <xdr:cNvPr id="18484" name="Oval 283"/>
              <xdr:cNvSpPr>
                <a:spLocks noChangeArrowheads="1"/>
              </xdr:cNvSpPr>
            </xdr:nvSpPr>
            <xdr:spPr bwMode="auto">
              <a:xfrm>
                <a:off x="2880" y="982"/>
                <a:ext cx="181" cy="181"/>
              </a:xfrm>
              <a:prstGeom prst="ellipse">
                <a:avLst/>
              </a:prstGeom>
              <a:solidFill>
                <a:srgbClr val="996633"/>
              </a:solidFill>
              <a:ln w="9525">
                <a:solidFill>
                  <a:srgbClr val="000000"/>
                </a:solidFill>
                <a:round/>
                <a:headEnd/>
                <a:tailEnd/>
              </a:ln>
            </xdr:spPr>
          </xdr:sp>
        </xdr:grpSp>
        <xdr:grpSp>
          <xdr:nvGrpSpPr>
            <xdr:cNvPr id="18448" name="Group 284"/>
            <xdr:cNvGrpSpPr>
              <a:grpSpLocks/>
            </xdr:cNvGrpSpPr>
          </xdr:nvGrpSpPr>
          <xdr:grpSpPr bwMode="auto">
            <a:xfrm>
              <a:off x="431" y="935"/>
              <a:ext cx="1179" cy="364"/>
              <a:chOff x="1973" y="799"/>
              <a:chExt cx="1179" cy="364"/>
            </a:xfrm>
          </xdr:grpSpPr>
          <xdr:grpSp>
            <xdr:nvGrpSpPr>
              <xdr:cNvPr id="18475" name="Group 285"/>
              <xdr:cNvGrpSpPr>
                <a:grpSpLocks/>
              </xdr:cNvGrpSpPr>
            </xdr:nvGrpSpPr>
            <xdr:grpSpPr bwMode="auto">
              <a:xfrm rot="454658">
                <a:off x="1973" y="799"/>
                <a:ext cx="1179" cy="136"/>
                <a:chOff x="1973" y="799"/>
                <a:chExt cx="1179" cy="136"/>
              </a:xfrm>
            </xdr:grpSpPr>
            <xdr:sp macro="" textlink="">
              <xdr:nvSpPr>
                <xdr:cNvPr id="18478" name="Line 286"/>
                <xdr:cNvSpPr>
                  <a:spLocks noChangeShapeType="1"/>
                </xdr:cNvSpPr>
              </xdr:nvSpPr>
              <xdr:spPr bwMode="auto">
                <a:xfrm>
                  <a:off x="1973" y="799"/>
                  <a:ext cx="1179" cy="0"/>
                </a:xfrm>
                <a:prstGeom prst="line">
                  <a:avLst/>
                </a:prstGeom>
                <a:noFill/>
                <a:ln w="9525">
                  <a:solidFill>
                    <a:srgbClr val="000000"/>
                  </a:solidFill>
                  <a:round/>
                  <a:headEnd/>
                  <a:tailEnd/>
                </a:ln>
              </xdr:spPr>
            </xdr:sp>
            <xdr:sp macro="" textlink="">
              <xdr:nvSpPr>
                <xdr:cNvPr id="18479" name="Line 287"/>
                <xdr:cNvSpPr>
                  <a:spLocks noChangeShapeType="1"/>
                </xdr:cNvSpPr>
              </xdr:nvSpPr>
              <xdr:spPr bwMode="auto">
                <a:xfrm>
                  <a:off x="1973" y="935"/>
                  <a:ext cx="1179" cy="0"/>
                </a:xfrm>
                <a:prstGeom prst="line">
                  <a:avLst/>
                </a:prstGeom>
                <a:noFill/>
                <a:ln w="9525">
                  <a:solidFill>
                    <a:srgbClr val="000000"/>
                  </a:solidFill>
                  <a:round/>
                  <a:headEnd/>
                  <a:tailEnd/>
                </a:ln>
              </xdr:spPr>
            </xdr:sp>
            <xdr:sp macro="" textlink="">
              <xdr:nvSpPr>
                <xdr:cNvPr id="18480" name="Line 288"/>
                <xdr:cNvSpPr>
                  <a:spLocks noChangeShapeType="1"/>
                </xdr:cNvSpPr>
              </xdr:nvSpPr>
              <xdr:spPr bwMode="auto">
                <a:xfrm>
                  <a:off x="1973" y="799"/>
                  <a:ext cx="0" cy="136"/>
                </a:xfrm>
                <a:prstGeom prst="line">
                  <a:avLst/>
                </a:prstGeom>
                <a:noFill/>
                <a:ln w="9525">
                  <a:solidFill>
                    <a:srgbClr val="000000"/>
                  </a:solidFill>
                  <a:round/>
                  <a:headEnd/>
                  <a:tailEnd/>
                </a:ln>
              </xdr:spPr>
            </xdr:sp>
            <xdr:sp macro="" textlink="">
              <xdr:nvSpPr>
                <xdr:cNvPr id="18481" name="Line 289"/>
                <xdr:cNvSpPr>
                  <a:spLocks noChangeShapeType="1"/>
                </xdr:cNvSpPr>
              </xdr:nvSpPr>
              <xdr:spPr bwMode="auto">
                <a:xfrm flipH="1">
                  <a:off x="3152" y="799"/>
                  <a:ext cx="0" cy="136"/>
                </a:xfrm>
                <a:prstGeom prst="line">
                  <a:avLst/>
                </a:prstGeom>
                <a:noFill/>
                <a:ln w="9525">
                  <a:solidFill>
                    <a:srgbClr val="000000"/>
                  </a:solidFill>
                  <a:round/>
                  <a:headEnd/>
                  <a:tailEnd/>
                </a:ln>
              </xdr:spPr>
            </xdr:sp>
          </xdr:grpSp>
          <xdr:sp macro="" textlink="">
            <xdr:nvSpPr>
              <xdr:cNvPr id="18476" name="Oval 290"/>
              <xdr:cNvSpPr>
                <a:spLocks noChangeArrowheads="1"/>
              </xdr:cNvSpPr>
            </xdr:nvSpPr>
            <xdr:spPr bwMode="auto">
              <a:xfrm>
                <a:off x="2064" y="891"/>
                <a:ext cx="181" cy="181"/>
              </a:xfrm>
              <a:prstGeom prst="ellipse">
                <a:avLst/>
              </a:prstGeom>
              <a:solidFill>
                <a:srgbClr val="996633"/>
              </a:solidFill>
              <a:ln w="9525">
                <a:solidFill>
                  <a:srgbClr val="000000"/>
                </a:solidFill>
                <a:round/>
                <a:headEnd/>
                <a:tailEnd/>
              </a:ln>
            </xdr:spPr>
          </xdr:sp>
          <xdr:sp macro="" textlink="">
            <xdr:nvSpPr>
              <xdr:cNvPr id="18477" name="Oval 291"/>
              <xdr:cNvSpPr>
                <a:spLocks noChangeArrowheads="1"/>
              </xdr:cNvSpPr>
            </xdr:nvSpPr>
            <xdr:spPr bwMode="auto">
              <a:xfrm>
                <a:off x="2880" y="982"/>
                <a:ext cx="181" cy="181"/>
              </a:xfrm>
              <a:prstGeom prst="ellipse">
                <a:avLst/>
              </a:prstGeom>
              <a:solidFill>
                <a:srgbClr val="996633"/>
              </a:solidFill>
              <a:ln w="9525">
                <a:solidFill>
                  <a:srgbClr val="000000"/>
                </a:solidFill>
                <a:round/>
                <a:headEnd/>
                <a:tailEnd/>
              </a:ln>
            </xdr:spPr>
          </xdr:sp>
        </xdr:grpSp>
        <xdr:sp macro="" textlink="">
          <xdr:nvSpPr>
            <xdr:cNvPr id="18449" name="Line 292"/>
            <xdr:cNvSpPr>
              <a:spLocks noChangeShapeType="1"/>
            </xdr:cNvSpPr>
          </xdr:nvSpPr>
          <xdr:spPr bwMode="auto">
            <a:xfrm rot="454658">
              <a:off x="402" y="1254"/>
              <a:ext cx="1179" cy="0"/>
            </a:xfrm>
            <a:prstGeom prst="line">
              <a:avLst/>
            </a:prstGeom>
            <a:noFill/>
            <a:ln w="9525">
              <a:solidFill>
                <a:srgbClr val="000000"/>
              </a:solidFill>
              <a:round/>
              <a:headEnd/>
              <a:tailEnd/>
            </a:ln>
          </xdr:spPr>
        </xdr:sp>
        <xdr:sp macro="" textlink="">
          <xdr:nvSpPr>
            <xdr:cNvPr id="18450" name="Line 293"/>
            <xdr:cNvSpPr>
              <a:spLocks noChangeShapeType="1"/>
            </xdr:cNvSpPr>
          </xdr:nvSpPr>
          <xdr:spPr bwMode="auto">
            <a:xfrm rot="454658">
              <a:off x="385" y="1389"/>
              <a:ext cx="1179" cy="0"/>
            </a:xfrm>
            <a:prstGeom prst="line">
              <a:avLst/>
            </a:prstGeom>
            <a:noFill/>
            <a:ln w="9525">
              <a:solidFill>
                <a:srgbClr val="000000"/>
              </a:solidFill>
              <a:round/>
              <a:headEnd/>
              <a:tailEnd/>
            </a:ln>
          </xdr:spPr>
        </xdr:sp>
        <xdr:sp macro="" textlink="">
          <xdr:nvSpPr>
            <xdr:cNvPr id="18451" name="Line 294"/>
            <xdr:cNvSpPr>
              <a:spLocks noChangeShapeType="1"/>
            </xdr:cNvSpPr>
          </xdr:nvSpPr>
          <xdr:spPr bwMode="auto">
            <a:xfrm rot="454658">
              <a:off x="399" y="1176"/>
              <a:ext cx="0" cy="136"/>
            </a:xfrm>
            <a:prstGeom prst="line">
              <a:avLst/>
            </a:prstGeom>
            <a:noFill/>
            <a:ln w="9525">
              <a:solidFill>
                <a:srgbClr val="000000"/>
              </a:solidFill>
              <a:round/>
              <a:headEnd/>
              <a:tailEnd/>
            </a:ln>
          </xdr:spPr>
        </xdr:sp>
        <xdr:sp macro="" textlink="">
          <xdr:nvSpPr>
            <xdr:cNvPr id="18452" name="Line 295"/>
            <xdr:cNvSpPr>
              <a:spLocks noChangeShapeType="1"/>
            </xdr:cNvSpPr>
          </xdr:nvSpPr>
          <xdr:spPr bwMode="auto">
            <a:xfrm rot="454658" flipH="1">
              <a:off x="1567" y="1331"/>
              <a:ext cx="0" cy="136"/>
            </a:xfrm>
            <a:prstGeom prst="line">
              <a:avLst/>
            </a:prstGeom>
            <a:noFill/>
            <a:ln w="9525">
              <a:solidFill>
                <a:srgbClr val="000000"/>
              </a:solidFill>
              <a:round/>
              <a:headEnd/>
              <a:tailEnd/>
            </a:ln>
          </xdr:spPr>
        </xdr:sp>
        <xdr:sp macro="" textlink="">
          <xdr:nvSpPr>
            <xdr:cNvPr id="18453" name="Oval 296"/>
            <xdr:cNvSpPr>
              <a:spLocks noChangeArrowheads="1"/>
            </xdr:cNvSpPr>
          </xdr:nvSpPr>
          <xdr:spPr bwMode="auto">
            <a:xfrm>
              <a:off x="476" y="1345"/>
              <a:ext cx="181" cy="181"/>
            </a:xfrm>
            <a:prstGeom prst="ellipse">
              <a:avLst/>
            </a:prstGeom>
            <a:solidFill>
              <a:srgbClr val="996633"/>
            </a:solidFill>
            <a:ln w="9525">
              <a:solidFill>
                <a:srgbClr val="000000"/>
              </a:solidFill>
              <a:round/>
              <a:headEnd/>
              <a:tailEnd/>
            </a:ln>
          </xdr:spPr>
        </xdr:sp>
        <xdr:sp macro="" textlink="">
          <xdr:nvSpPr>
            <xdr:cNvPr id="18454" name="Oval 297"/>
            <xdr:cNvSpPr>
              <a:spLocks noChangeArrowheads="1"/>
            </xdr:cNvSpPr>
          </xdr:nvSpPr>
          <xdr:spPr bwMode="auto">
            <a:xfrm>
              <a:off x="1292" y="1436"/>
              <a:ext cx="181" cy="181"/>
            </a:xfrm>
            <a:prstGeom prst="ellipse">
              <a:avLst/>
            </a:prstGeom>
            <a:solidFill>
              <a:srgbClr val="996633"/>
            </a:solidFill>
            <a:ln w="9525">
              <a:solidFill>
                <a:srgbClr val="000000"/>
              </a:solidFill>
              <a:round/>
              <a:headEnd/>
              <a:tailEnd/>
            </a:ln>
          </xdr:spPr>
        </xdr:sp>
        <xdr:grpSp>
          <xdr:nvGrpSpPr>
            <xdr:cNvPr id="18455" name="Group 298"/>
            <xdr:cNvGrpSpPr>
              <a:grpSpLocks/>
            </xdr:cNvGrpSpPr>
          </xdr:nvGrpSpPr>
          <xdr:grpSpPr bwMode="auto">
            <a:xfrm rot="454658">
              <a:off x="340" y="1570"/>
              <a:ext cx="1179" cy="136"/>
              <a:chOff x="1973" y="799"/>
              <a:chExt cx="1179" cy="136"/>
            </a:xfrm>
          </xdr:grpSpPr>
          <xdr:sp macro="" textlink="">
            <xdr:nvSpPr>
              <xdr:cNvPr id="18471" name="Line 299"/>
              <xdr:cNvSpPr>
                <a:spLocks noChangeShapeType="1"/>
              </xdr:cNvSpPr>
            </xdr:nvSpPr>
            <xdr:spPr bwMode="auto">
              <a:xfrm>
                <a:off x="1973" y="799"/>
                <a:ext cx="1179" cy="0"/>
              </a:xfrm>
              <a:prstGeom prst="line">
                <a:avLst/>
              </a:prstGeom>
              <a:noFill/>
              <a:ln w="28575">
                <a:solidFill>
                  <a:srgbClr val="996633"/>
                </a:solidFill>
                <a:round/>
                <a:headEnd/>
                <a:tailEnd/>
              </a:ln>
            </xdr:spPr>
          </xdr:sp>
          <xdr:sp macro="" textlink="">
            <xdr:nvSpPr>
              <xdr:cNvPr id="18472" name="Line 300"/>
              <xdr:cNvSpPr>
                <a:spLocks noChangeShapeType="1"/>
              </xdr:cNvSpPr>
            </xdr:nvSpPr>
            <xdr:spPr bwMode="auto">
              <a:xfrm>
                <a:off x="1973" y="935"/>
                <a:ext cx="1179" cy="0"/>
              </a:xfrm>
              <a:prstGeom prst="line">
                <a:avLst/>
              </a:prstGeom>
              <a:noFill/>
              <a:ln w="28575">
                <a:solidFill>
                  <a:srgbClr val="996633"/>
                </a:solidFill>
                <a:round/>
                <a:headEnd/>
                <a:tailEnd/>
              </a:ln>
            </xdr:spPr>
          </xdr:sp>
          <xdr:sp macro="" textlink="">
            <xdr:nvSpPr>
              <xdr:cNvPr id="18473" name="Line 301"/>
              <xdr:cNvSpPr>
                <a:spLocks noChangeShapeType="1"/>
              </xdr:cNvSpPr>
            </xdr:nvSpPr>
            <xdr:spPr bwMode="auto">
              <a:xfrm>
                <a:off x="1973" y="799"/>
                <a:ext cx="0" cy="136"/>
              </a:xfrm>
              <a:prstGeom prst="line">
                <a:avLst/>
              </a:prstGeom>
              <a:noFill/>
              <a:ln w="28575">
                <a:solidFill>
                  <a:srgbClr val="996633"/>
                </a:solidFill>
                <a:round/>
                <a:headEnd/>
                <a:tailEnd/>
              </a:ln>
            </xdr:spPr>
          </xdr:sp>
          <xdr:sp macro="" textlink="">
            <xdr:nvSpPr>
              <xdr:cNvPr id="18474" name="Line 302"/>
              <xdr:cNvSpPr>
                <a:spLocks noChangeShapeType="1"/>
              </xdr:cNvSpPr>
            </xdr:nvSpPr>
            <xdr:spPr bwMode="auto">
              <a:xfrm flipH="1">
                <a:off x="3152" y="799"/>
                <a:ext cx="0" cy="136"/>
              </a:xfrm>
              <a:prstGeom prst="line">
                <a:avLst/>
              </a:prstGeom>
              <a:noFill/>
              <a:ln w="28575">
                <a:solidFill>
                  <a:srgbClr val="996633"/>
                </a:solidFill>
                <a:round/>
                <a:headEnd/>
                <a:tailEnd/>
              </a:ln>
            </xdr:spPr>
          </xdr:sp>
        </xdr:grpSp>
        <xdr:sp macro="" textlink="">
          <xdr:nvSpPr>
            <xdr:cNvPr id="18456" name="Oval 303"/>
            <xdr:cNvSpPr>
              <a:spLocks noChangeArrowheads="1"/>
            </xdr:cNvSpPr>
          </xdr:nvSpPr>
          <xdr:spPr bwMode="auto">
            <a:xfrm>
              <a:off x="431" y="1662"/>
              <a:ext cx="181" cy="181"/>
            </a:xfrm>
            <a:prstGeom prst="ellipse">
              <a:avLst/>
            </a:prstGeom>
            <a:solidFill>
              <a:srgbClr val="996633"/>
            </a:solidFill>
            <a:ln w="9525">
              <a:solidFill>
                <a:srgbClr val="000000"/>
              </a:solidFill>
              <a:round/>
              <a:headEnd/>
              <a:tailEnd/>
            </a:ln>
          </xdr:spPr>
        </xdr:sp>
        <xdr:sp macro="" textlink="">
          <xdr:nvSpPr>
            <xdr:cNvPr id="18457" name="Oval 304"/>
            <xdr:cNvSpPr>
              <a:spLocks noChangeArrowheads="1"/>
            </xdr:cNvSpPr>
          </xdr:nvSpPr>
          <xdr:spPr bwMode="auto">
            <a:xfrm>
              <a:off x="1247" y="1753"/>
              <a:ext cx="181" cy="181"/>
            </a:xfrm>
            <a:prstGeom prst="ellipse">
              <a:avLst/>
            </a:prstGeom>
            <a:solidFill>
              <a:srgbClr val="996633"/>
            </a:solidFill>
            <a:ln w="9525">
              <a:solidFill>
                <a:srgbClr val="000000"/>
              </a:solidFill>
              <a:round/>
              <a:headEnd/>
              <a:tailEnd/>
            </a:ln>
          </xdr:spPr>
        </xdr:sp>
        <xdr:sp macro="" textlink="">
          <xdr:nvSpPr>
            <xdr:cNvPr id="18458" name="Text Box 305"/>
            <xdr:cNvSpPr txBox="1">
              <a:spLocks noChangeArrowheads="1"/>
            </xdr:cNvSpPr>
          </xdr:nvSpPr>
          <xdr:spPr bwMode="auto">
            <a:xfrm rot="418657">
              <a:off x="339" y="1570"/>
              <a:ext cx="1181" cy="175"/>
            </a:xfrm>
            <a:prstGeom prst="rect">
              <a:avLst/>
            </a:prstGeom>
            <a:solidFill>
              <a:srgbClr val="996633"/>
            </a:solidFill>
            <a:ln w="9525">
              <a:solidFill>
                <a:srgbClr val="000000"/>
              </a:solidFill>
              <a:miter lim="800000"/>
              <a:headEnd/>
              <a:tailEnd/>
            </a:ln>
          </xdr:spPr>
        </xdr:sp>
        <xdr:sp macro="" textlink="">
          <xdr:nvSpPr>
            <xdr:cNvPr id="18459" name="Text Box 306"/>
            <xdr:cNvSpPr txBox="1">
              <a:spLocks noChangeArrowheads="1"/>
            </xdr:cNvSpPr>
          </xdr:nvSpPr>
          <xdr:spPr bwMode="auto">
            <a:xfrm rot="418657">
              <a:off x="385" y="1253"/>
              <a:ext cx="1180" cy="175"/>
            </a:xfrm>
            <a:prstGeom prst="rect">
              <a:avLst/>
            </a:prstGeom>
            <a:solidFill>
              <a:srgbClr val="996633"/>
            </a:solidFill>
            <a:ln w="9525">
              <a:solidFill>
                <a:srgbClr val="000000"/>
              </a:solidFill>
              <a:miter lim="800000"/>
              <a:headEnd/>
              <a:tailEnd/>
            </a:ln>
          </xdr:spPr>
        </xdr:sp>
        <xdr:sp macro="" textlink="">
          <xdr:nvSpPr>
            <xdr:cNvPr id="18460" name="Text Box 307"/>
            <xdr:cNvSpPr txBox="1">
              <a:spLocks noChangeArrowheads="1"/>
            </xdr:cNvSpPr>
          </xdr:nvSpPr>
          <xdr:spPr bwMode="auto">
            <a:xfrm rot="418657">
              <a:off x="431" y="934"/>
              <a:ext cx="1180" cy="175"/>
            </a:xfrm>
            <a:prstGeom prst="rect">
              <a:avLst/>
            </a:prstGeom>
            <a:solidFill>
              <a:srgbClr val="996633"/>
            </a:solidFill>
            <a:ln w="9525">
              <a:solidFill>
                <a:srgbClr val="000000"/>
              </a:solidFill>
              <a:miter lim="800000"/>
              <a:headEnd/>
              <a:tailEnd/>
            </a:ln>
          </xdr:spPr>
        </xdr:sp>
        <xdr:sp macro="" textlink="">
          <xdr:nvSpPr>
            <xdr:cNvPr id="18461" name="Text Box 308"/>
            <xdr:cNvSpPr txBox="1">
              <a:spLocks noChangeArrowheads="1"/>
            </xdr:cNvSpPr>
          </xdr:nvSpPr>
          <xdr:spPr bwMode="auto">
            <a:xfrm rot="418657">
              <a:off x="476" y="618"/>
              <a:ext cx="1180" cy="175"/>
            </a:xfrm>
            <a:prstGeom prst="rect">
              <a:avLst/>
            </a:prstGeom>
            <a:solidFill>
              <a:srgbClr val="996633"/>
            </a:solidFill>
            <a:ln w="9525">
              <a:solidFill>
                <a:srgbClr val="000000"/>
              </a:solidFill>
              <a:miter lim="800000"/>
              <a:headEnd/>
              <a:tailEnd/>
            </a:ln>
          </xdr:spPr>
        </xdr:sp>
        <xdr:sp macro="" textlink="">
          <xdr:nvSpPr>
            <xdr:cNvPr id="18462" name="Text Box 309"/>
            <xdr:cNvSpPr txBox="1">
              <a:spLocks noChangeArrowheads="1"/>
            </xdr:cNvSpPr>
          </xdr:nvSpPr>
          <xdr:spPr bwMode="auto">
            <a:xfrm rot="418657">
              <a:off x="522" y="300"/>
              <a:ext cx="1179" cy="175"/>
            </a:xfrm>
            <a:prstGeom prst="rect">
              <a:avLst/>
            </a:prstGeom>
            <a:solidFill>
              <a:srgbClr val="996633"/>
            </a:solidFill>
            <a:ln w="9525">
              <a:solidFill>
                <a:srgbClr val="000000"/>
              </a:solidFill>
              <a:miter lim="800000"/>
              <a:headEnd/>
              <a:tailEnd/>
            </a:ln>
          </xdr:spPr>
        </xdr:sp>
        <xdr:sp macro="" textlink="">
          <xdr:nvSpPr>
            <xdr:cNvPr id="18463" name="Oval 310"/>
            <xdr:cNvSpPr>
              <a:spLocks noChangeArrowheads="1"/>
            </xdr:cNvSpPr>
          </xdr:nvSpPr>
          <xdr:spPr bwMode="auto">
            <a:xfrm>
              <a:off x="839" y="119"/>
              <a:ext cx="181" cy="182"/>
            </a:xfrm>
            <a:prstGeom prst="ellipse">
              <a:avLst/>
            </a:prstGeom>
            <a:solidFill>
              <a:srgbClr val="996633"/>
            </a:solidFill>
            <a:ln w="9525">
              <a:solidFill>
                <a:srgbClr val="000000"/>
              </a:solidFill>
              <a:round/>
              <a:headEnd/>
              <a:tailEnd/>
            </a:ln>
          </xdr:spPr>
        </xdr:sp>
        <xdr:sp macro="" textlink="">
          <xdr:nvSpPr>
            <xdr:cNvPr id="18464" name="Oval 311"/>
            <xdr:cNvSpPr>
              <a:spLocks noChangeArrowheads="1"/>
            </xdr:cNvSpPr>
          </xdr:nvSpPr>
          <xdr:spPr bwMode="auto">
            <a:xfrm>
              <a:off x="1474" y="164"/>
              <a:ext cx="181" cy="181"/>
            </a:xfrm>
            <a:prstGeom prst="ellipse">
              <a:avLst/>
            </a:prstGeom>
            <a:solidFill>
              <a:srgbClr val="996633"/>
            </a:solidFill>
            <a:ln w="9525">
              <a:solidFill>
                <a:srgbClr val="000000"/>
              </a:solidFill>
              <a:round/>
              <a:headEnd/>
              <a:tailEnd/>
            </a:ln>
          </xdr:spPr>
        </xdr:sp>
        <xdr:sp macro="" textlink="">
          <xdr:nvSpPr>
            <xdr:cNvPr id="18465" name="Oval 312"/>
            <xdr:cNvSpPr>
              <a:spLocks noChangeArrowheads="1"/>
            </xdr:cNvSpPr>
          </xdr:nvSpPr>
          <xdr:spPr bwMode="auto">
            <a:xfrm>
              <a:off x="657" y="73"/>
              <a:ext cx="181" cy="181"/>
            </a:xfrm>
            <a:prstGeom prst="ellipse">
              <a:avLst/>
            </a:prstGeom>
            <a:solidFill>
              <a:srgbClr val="996633"/>
            </a:solidFill>
            <a:ln w="9525">
              <a:solidFill>
                <a:srgbClr val="000000"/>
              </a:solidFill>
              <a:round/>
              <a:headEnd/>
              <a:tailEnd/>
            </a:ln>
          </xdr:spPr>
        </xdr:sp>
        <xdr:sp macro="" textlink="">
          <xdr:nvSpPr>
            <xdr:cNvPr id="18466" name="Line 313"/>
            <xdr:cNvSpPr>
              <a:spLocks noChangeShapeType="1"/>
            </xdr:cNvSpPr>
          </xdr:nvSpPr>
          <xdr:spPr bwMode="auto">
            <a:xfrm>
              <a:off x="113" y="1797"/>
              <a:ext cx="1542" cy="182"/>
            </a:xfrm>
            <a:prstGeom prst="line">
              <a:avLst/>
            </a:prstGeom>
            <a:noFill/>
            <a:ln w="19050">
              <a:solidFill>
                <a:srgbClr val="000000"/>
              </a:solidFill>
              <a:round/>
              <a:headEnd/>
              <a:tailEnd/>
            </a:ln>
          </xdr:spPr>
        </xdr:sp>
        <xdr:sp macro="" textlink="">
          <xdr:nvSpPr>
            <xdr:cNvPr id="18467" name="Line 314"/>
            <xdr:cNvSpPr>
              <a:spLocks noChangeShapeType="1"/>
            </xdr:cNvSpPr>
          </xdr:nvSpPr>
          <xdr:spPr bwMode="auto">
            <a:xfrm>
              <a:off x="1519" y="1979"/>
              <a:ext cx="0" cy="0"/>
            </a:xfrm>
            <a:prstGeom prst="line">
              <a:avLst/>
            </a:prstGeom>
            <a:noFill/>
            <a:ln w="9525">
              <a:solidFill>
                <a:srgbClr val="000000"/>
              </a:solidFill>
              <a:round/>
              <a:headEnd/>
              <a:tailEnd/>
            </a:ln>
          </xdr:spPr>
        </xdr:sp>
        <xdr:sp macro="" textlink="">
          <xdr:nvSpPr>
            <xdr:cNvPr id="18468" name="Oval 315"/>
            <xdr:cNvSpPr>
              <a:spLocks noChangeArrowheads="1"/>
            </xdr:cNvSpPr>
          </xdr:nvSpPr>
          <xdr:spPr bwMode="auto">
            <a:xfrm>
              <a:off x="1519" y="1842"/>
              <a:ext cx="136" cy="137"/>
            </a:xfrm>
            <a:prstGeom prst="ellipse">
              <a:avLst/>
            </a:prstGeom>
            <a:solidFill>
              <a:srgbClr val="000000"/>
            </a:solidFill>
            <a:ln w="28575">
              <a:solidFill>
                <a:srgbClr val="0066FF"/>
              </a:solidFill>
              <a:round/>
              <a:headEnd/>
              <a:tailEnd/>
            </a:ln>
          </xdr:spPr>
        </xdr:sp>
        <xdr:sp macro="" textlink="">
          <xdr:nvSpPr>
            <xdr:cNvPr id="18469" name="Line 316"/>
            <xdr:cNvSpPr>
              <a:spLocks noChangeShapeType="1"/>
            </xdr:cNvSpPr>
          </xdr:nvSpPr>
          <xdr:spPr bwMode="auto">
            <a:xfrm flipV="1">
              <a:off x="1655" y="119"/>
              <a:ext cx="409" cy="1860"/>
            </a:xfrm>
            <a:prstGeom prst="line">
              <a:avLst/>
            </a:prstGeom>
            <a:noFill/>
            <a:ln w="19050">
              <a:solidFill>
                <a:srgbClr val="000000"/>
              </a:solidFill>
              <a:round/>
              <a:headEnd/>
              <a:tailEnd/>
            </a:ln>
          </xdr:spPr>
        </xdr:sp>
        <xdr:sp macro="" textlink="">
          <xdr:nvSpPr>
            <xdr:cNvPr id="18470" name="Line 317"/>
            <xdr:cNvSpPr>
              <a:spLocks noChangeShapeType="1"/>
            </xdr:cNvSpPr>
          </xdr:nvSpPr>
          <xdr:spPr bwMode="auto">
            <a:xfrm flipH="1">
              <a:off x="0" y="1797"/>
              <a:ext cx="113" cy="136"/>
            </a:xfrm>
            <a:prstGeom prst="line">
              <a:avLst/>
            </a:prstGeom>
            <a:noFill/>
            <a:ln w="28575">
              <a:solidFill>
                <a:srgbClr val="000000"/>
              </a:solidFill>
              <a:round/>
              <a:headEnd/>
              <a:tailEnd/>
            </a:ln>
          </xdr:spPr>
        </xdr:sp>
      </xdr:grpSp>
      <xdr:grpSp>
        <xdr:nvGrpSpPr>
          <xdr:cNvPr id="18439" name="Group 426"/>
          <xdr:cNvGrpSpPr>
            <a:grpSpLocks/>
          </xdr:cNvGrpSpPr>
        </xdr:nvGrpSpPr>
        <xdr:grpSpPr bwMode="auto">
          <a:xfrm>
            <a:off x="5711831" y="3429001"/>
            <a:ext cx="1968502" cy="2809876"/>
            <a:chOff x="3598" y="2160"/>
            <a:chExt cx="1240" cy="1770"/>
          </a:xfrm>
        </xdr:grpSpPr>
        <xdr:sp macro="" textlink="">
          <xdr:nvSpPr>
            <xdr:cNvPr id="18440" name="Freeform 383"/>
            <xdr:cNvSpPr>
              <a:spLocks/>
            </xdr:cNvSpPr>
          </xdr:nvSpPr>
          <xdr:spPr bwMode="auto">
            <a:xfrm>
              <a:off x="3598" y="2296"/>
              <a:ext cx="325" cy="1452"/>
            </a:xfrm>
            <a:custGeom>
              <a:avLst/>
              <a:gdLst>
                <a:gd name="T0" fmla="*/ 325 w 325"/>
                <a:gd name="T1" fmla="*/ 0 h 1452"/>
                <a:gd name="T2" fmla="*/ 189 w 325"/>
                <a:gd name="T3" fmla="*/ 136 h 1452"/>
                <a:gd name="T4" fmla="*/ 98 w 325"/>
                <a:gd name="T5" fmla="*/ 318 h 1452"/>
                <a:gd name="T6" fmla="*/ 53 w 325"/>
                <a:gd name="T7" fmla="*/ 499 h 1452"/>
                <a:gd name="T8" fmla="*/ 8 w 325"/>
                <a:gd name="T9" fmla="*/ 862 h 1452"/>
                <a:gd name="T10" fmla="*/ 8 w 325"/>
                <a:gd name="T11" fmla="*/ 1089 h 1452"/>
                <a:gd name="T12" fmla="*/ 53 w 325"/>
                <a:gd name="T13" fmla="*/ 1225 h 1452"/>
                <a:gd name="T14" fmla="*/ 98 w 325"/>
                <a:gd name="T15" fmla="*/ 1452 h 1452"/>
                <a:gd name="T16" fmla="*/ 0 60000 65536"/>
                <a:gd name="T17" fmla="*/ 0 60000 65536"/>
                <a:gd name="T18" fmla="*/ 0 60000 65536"/>
                <a:gd name="T19" fmla="*/ 0 60000 65536"/>
                <a:gd name="T20" fmla="*/ 0 60000 65536"/>
                <a:gd name="T21" fmla="*/ 0 60000 65536"/>
                <a:gd name="T22" fmla="*/ 0 60000 65536"/>
                <a:gd name="T23" fmla="*/ 0 60000 65536"/>
                <a:gd name="T24" fmla="*/ 0 w 325"/>
                <a:gd name="T25" fmla="*/ 0 h 1452"/>
                <a:gd name="T26" fmla="*/ 325 w 325"/>
                <a:gd name="T27" fmla="*/ 1452 h 145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25" h="1452">
                  <a:moveTo>
                    <a:pt x="325" y="0"/>
                  </a:moveTo>
                  <a:cubicBezTo>
                    <a:pt x="276" y="41"/>
                    <a:pt x="227" y="83"/>
                    <a:pt x="189" y="136"/>
                  </a:cubicBezTo>
                  <a:cubicBezTo>
                    <a:pt x="151" y="189"/>
                    <a:pt x="121" y="258"/>
                    <a:pt x="98" y="318"/>
                  </a:cubicBezTo>
                  <a:cubicBezTo>
                    <a:pt x="75" y="378"/>
                    <a:pt x="68" y="408"/>
                    <a:pt x="53" y="499"/>
                  </a:cubicBezTo>
                  <a:cubicBezTo>
                    <a:pt x="38" y="590"/>
                    <a:pt x="15" y="764"/>
                    <a:pt x="8" y="862"/>
                  </a:cubicBezTo>
                  <a:cubicBezTo>
                    <a:pt x="1" y="960"/>
                    <a:pt x="0" y="1028"/>
                    <a:pt x="8" y="1089"/>
                  </a:cubicBezTo>
                  <a:cubicBezTo>
                    <a:pt x="16" y="1150"/>
                    <a:pt x="38" y="1165"/>
                    <a:pt x="53" y="1225"/>
                  </a:cubicBezTo>
                  <a:cubicBezTo>
                    <a:pt x="68" y="1285"/>
                    <a:pt x="91" y="1414"/>
                    <a:pt x="98" y="1452"/>
                  </a:cubicBezTo>
                </a:path>
              </a:pathLst>
            </a:custGeom>
            <a:noFill/>
            <a:ln w="38100" cmpd="sng">
              <a:solidFill>
                <a:srgbClr val="FF0000"/>
              </a:solidFill>
              <a:round/>
              <a:headEnd/>
              <a:tailEnd/>
            </a:ln>
          </xdr:spPr>
        </xdr:sp>
        <xdr:sp macro="" textlink="">
          <xdr:nvSpPr>
            <xdr:cNvPr id="18441" name="Freeform 384"/>
            <xdr:cNvSpPr>
              <a:spLocks/>
            </xdr:cNvSpPr>
          </xdr:nvSpPr>
          <xdr:spPr bwMode="auto">
            <a:xfrm>
              <a:off x="4513" y="2478"/>
              <a:ext cx="325" cy="1452"/>
            </a:xfrm>
            <a:custGeom>
              <a:avLst/>
              <a:gdLst>
                <a:gd name="T0" fmla="*/ 325 w 325"/>
                <a:gd name="T1" fmla="*/ 0 h 1452"/>
                <a:gd name="T2" fmla="*/ 189 w 325"/>
                <a:gd name="T3" fmla="*/ 136 h 1452"/>
                <a:gd name="T4" fmla="*/ 98 w 325"/>
                <a:gd name="T5" fmla="*/ 318 h 1452"/>
                <a:gd name="T6" fmla="*/ 53 w 325"/>
                <a:gd name="T7" fmla="*/ 499 h 1452"/>
                <a:gd name="T8" fmla="*/ 8 w 325"/>
                <a:gd name="T9" fmla="*/ 862 h 1452"/>
                <a:gd name="T10" fmla="*/ 8 w 325"/>
                <a:gd name="T11" fmla="*/ 1089 h 1452"/>
                <a:gd name="T12" fmla="*/ 53 w 325"/>
                <a:gd name="T13" fmla="*/ 1225 h 1452"/>
                <a:gd name="T14" fmla="*/ 98 w 325"/>
                <a:gd name="T15" fmla="*/ 1452 h 1452"/>
                <a:gd name="T16" fmla="*/ 0 60000 65536"/>
                <a:gd name="T17" fmla="*/ 0 60000 65536"/>
                <a:gd name="T18" fmla="*/ 0 60000 65536"/>
                <a:gd name="T19" fmla="*/ 0 60000 65536"/>
                <a:gd name="T20" fmla="*/ 0 60000 65536"/>
                <a:gd name="T21" fmla="*/ 0 60000 65536"/>
                <a:gd name="T22" fmla="*/ 0 60000 65536"/>
                <a:gd name="T23" fmla="*/ 0 60000 65536"/>
                <a:gd name="T24" fmla="*/ 0 w 325"/>
                <a:gd name="T25" fmla="*/ 0 h 1452"/>
                <a:gd name="T26" fmla="*/ 325 w 325"/>
                <a:gd name="T27" fmla="*/ 1452 h 1452"/>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25" h="1452">
                  <a:moveTo>
                    <a:pt x="325" y="0"/>
                  </a:moveTo>
                  <a:cubicBezTo>
                    <a:pt x="276" y="41"/>
                    <a:pt x="227" y="83"/>
                    <a:pt x="189" y="136"/>
                  </a:cubicBezTo>
                  <a:cubicBezTo>
                    <a:pt x="151" y="189"/>
                    <a:pt x="121" y="258"/>
                    <a:pt x="98" y="318"/>
                  </a:cubicBezTo>
                  <a:cubicBezTo>
                    <a:pt x="75" y="378"/>
                    <a:pt x="68" y="408"/>
                    <a:pt x="53" y="499"/>
                  </a:cubicBezTo>
                  <a:cubicBezTo>
                    <a:pt x="38" y="590"/>
                    <a:pt x="15" y="764"/>
                    <a:pt x="8" y="862"/>
                  </a:cubicBezTo>
                  <a:cubicBezTo>
                    <a:pt x="1" y="960"/>
                    <a:pt x="0" y="1028"/>
                    <a:pt x="8" y="1089"/>
                  </a:cubicBezTo>
                  <a:cubicBezTo>
                    <a:pt x="16" y="1150"/>
                    <a:pt x="38" y="1165"/>
                    <a:pt x="53" y="1225"/>
                  </a:cubicBezTo>
                  <a:cubicBezTo>
                    <a:pt x="68" y="1285"/>
                    <a:pt x="91" y="1414"/>
                    <a:pt x="98" y="1452"/>
                  </a:cubicBezTo>
                </a:path>
              </a:pathLst>
            </a:custGeom>
            <a:noFill/>
            <a:ln w="38100" cmpd="sng">
              <a:solidFill>
                <a:srgbClr val="FF0000"/>
              </a:solidFill>
              <a:round/>
              <a:headEnd/>
              <a:tailEnd/>
            </a:ln>
          </xdr:spPr>
        </xdr:sp>
        <xdr:sp macro="" textlink="">
          <xdr:nvSpPr>
            <xdr:cNvPr id="18442" name="Oval 385"/>
            <xdr:cNvSpPr>
              <a:spLocks noChangeArrowheads="1"/>
            </xdr:cNvSpPr>
          </xdr:nvSpPr>
          <xdr:spPr bwMode="auto">
            <a:xfrm>
              <a:off x="3833" y="2205"/>
              <a:ext cx="227" cy="181"/>
            </a:xfrm>
            <a:prstGeom prst="ellipse">
              <a:avLst/>
            </a:prstGeom>
            <a:solidFill>
              <a:srgbClr val="996633"/>
            </a:solidFill>
            <a:ln w="28575">
              <a:solidFill>
                <a:srgbClr val="FF0000"/>
              </a:solidFill>
              <a:round/>
              <a:headEnd/>
              <a:tailEnd/>
            </a:ln>
          </xdr:spPr>
        </xdr:sp>
        <xdr:sp macro="" textlink="">
          <xdr:nvSpPr>
            <xdr:cNvPr id="18443" name="Freeform 386"/>
            <xdr:cNvSpPr>
              <a:spLocks/>
            </xdr:cNvSpPr>
          </xdr:nvSpPr>
          <xdr:spPr bwMode="auto">
            <a:xfrm>
              <a:off x="3742" y="2205"/>
              <a:ext cx="265" cy="227"/>
            </a:xfrm>
            <a:custGeom>
              <a:avLst/>
              <a:gdLst>
                <a:gd name="T0" fmla="*/ 227 w 265"/>
                <a:gd name="T1" fmla="*/ 227 h 227"/>
                <a:gd name="T2" fmla="*/ 227 w 265"/>
                <a:gd name="T3" fmla="*/ 91 h 227"/>
                <a:gd name="T4" fmla="*/ 0 w 265"/>
                <a:gd name="T5" fmla="*/ 0 h 227"/>
                <a:gd name="T6" fmla="*/ 0 60000 65536"/>
                <a:gd name="T7" fmla="*/ 0 60000 65536"/>
                <a:gd name="T8" fmla="*/ 0 60000 65536"/>
                <a:gd name="T9" fmla="*/ 0 w 265"/>
                <a:gd name="T10" fmla="*/ 0 h 227"/>
                <a:gd name="T11" fmla="*/ 265 w 265"/>
                <a:gd name="T12" fmla="*/ 227 h 227"/>
              </a:gdLst>
              <a:ahLst/>
              <a:cxnLst>
                <a:cxn ang="T6">
                  <a:pos x="T0" y="T1"/>
                </a:cxn>
                <a:cxn ang="T7">
                  <a:pos x="T2" y="T3"/>
                </a:cxn>
                <a:cxn ang="T8">
                  <a:pos x="T4" y="T5"/>
                </a:cxn>
              </a:cxnLst>
              <a:rect l="T9" t="T10" r="T11" b="T12"/>
              <a:pathLst>
                <a:path w="265" h="227">
                  <a:moveTo>
                    <a:pt x="227" y="227"/>
                  </a:moveTo>
                  <a:cubicBezTo>
                    <a:pt x="246" y="178"/>
                    <a:pt x="265" y="129"/>
                    <a:pt x="227" y="91"/>
                  </a:cubicBezTo>
                  <a:cubicBezTo>
                    <a:pt x="189" y="53"/>
                    <a:pt x="38" y="15"/>
                    <a:pt x="0" y="0"/>
                  </a:cubicBezTo>
                </a:path>
              </a:pathLst>
            </a:custGeom>
            <a:noFill/>
            <a:ln w="38100" cmpd="sng">
              <a:solidFill>
                <a:srgbClr val="000000"/>
              </a:solidFill>
              <a:round/>
              <a:headEnd/>
              <a:tailEnd/>
            </a:ln>
          </xdr:spPr>
        </xdr:sp>
        <xdr:sp macro="" textlink="">
          <xdr:nvSpPr>
            <xdr:cNvPr id="18444" name="Freeform 387"/>
            <xdr:cNvSpPr>
              <a:spLocks/>
            </xdr:cNvSpPr>
          </xdr:nvSpPr>
          <xdr:spPr bwMode="auto">
            <a:xfrm>
              <a:off x="4332" y="2387"/>
              <a:ext cx="151" cy="272"/>
            </a:xfrm>
            <a:custGeom>
              <a:avLst/>
              <a:gdLst>
                <a:gd name="T0" fmla="*/ 0 w 151"/>
                <a:gd name="T1" fmla="*/ 0 h 272"/>
                <a:gd name="T2" fmla="*/ 45 w 151"/>
                <a:gd name="T3" fmla="*/ 136 h 272"/>
                <a:gd name="T4" fmla="*/ 136 w 151"/>
                <a:gd name="T5" fmla="*/ 91 h 272"/>
                <a:gd name="T6" fmla="*/ 136 w 151"/>
                <a:gd name="T7" fmla="*/ 272 h 272"/>
                <a:gd name="T8" fmla="*/ 0 60000 65536"/>
                <a:gd name="T9" fmla="*/ 0 60000 65536"/>
                <a:gd name="T10" fmla="*/ 0 60000 65536"/>
                <a:gd name="T11" fmla="*/ 0 60000 65536"/>
                <a:gd name="T12" fmla="*/ 0 w 151"/>
                <a:gd name="T13" fmla="*/ 0 h 272"/>
                <a:gd name="T14" fmla="*/ 151 w 151"/>
                <a:gd name="T15" fmla="*/ 272 h 272"/>
              </a:gdLst>
              <a:ahLst/>
              <a:cxnLst>
                <a:cxn ang="T8">
                  <a:pos x="T0" y="T1"/>
                </a:cxn>
                <a:cxn ang="T9">
                  <a:pos x="T2" y="T3"/>
                </a:cxn>
                <a:cxn ang="T10">
                  <a:pos x="T4" y="T5"/>
                </a:cxn>
                <a:cxn ang="T11">
                  <a:pos x="T6" y="T7"/>
                </a:cxn>
              </a:cxnLst>
              <a:rect l="T12" t="T13" r="T14" b="T15"/>
              <a:pathLst>
                <a:path w="151" h="272">
                  <a:moveTo>
                    <a:pt x="0" y="0"/>
                  </a:moveTo>
                  <a:cubicBezTo>
                    <a:pt x="11" y="60"/>
                    <a:pt x="22" y="121"/>
                    <a:pt x="45" y="136"/>
                  </a:cubicBezTo>
                  <a:cubicBezTo>
                    <a:pt x="68" y="151"/>
                    <a:pt x="121" y="68"/>
                    <a:pt x="136" y="91"/>
                  </a:cubicBezTo>
                  <a:cubicBezTo>
                    <a:pt x="151" y="114"/>
                    <a:pt x="143" y="193"/>
                    <a:pt x="136" y="272"/>
                  </a:cubicBezTo>
                </a:path>
              </a:pathLst>
            </a:custGeom>
            <a:noFill/>
            <a:ln w="28575" cmpd="sng">
              <a:solidFill>
                <a:srgbClr val="FF0000"/>
              </a:solidFill>
              <a:round/>
              <a:headEnd/>
              <a:tailEnd/>
            </a:ln>
          </xdr:spPr>
        </xdr:sp>
        <xdr:sp macro="" textlink="">
          <xdr:nvSpPr>
            <xdr:cNvPr id="18445" name="Oval 389"/>
            <xdr:cNvSpPr>
              <a:spLocks noChangeArrowheads="1"/>
            </xdr:cNvSpPr>
          </xdr:nvSpPr>
          <xdr:spPr bwMode="auto">
            <a:xfrm flipH="1">
              <a:off x="3696" y="2160"/>
              <a:ext cx="46" cy="91"/>
            </a:xfrm>
            <a:prstGeom prst="ellipse">
              <a:avLst/>
            </a:prstGeom>
            <a:solidFill>
              <a:srgbClr val="000000"/>
            </a:solidFill>
            <a:ln w="9525">
              <a:solidFill>
                <a:srgbClr val="000000"/>
              </a:solidFill>
              <a:round/>
              <a:headEnd/>
              <a:tailEnd/>
            </a:ln>
          </xdr:spPr>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381000</xdr:colOff>
      <xdr:row>4</xdr:row>
      <xdr:rowOff>171450</xdr:rowOff>
    </xdr:from>
    <xdr:to>
      <xdr:col>19</xdr:col>
      <xdr:colOff>104775</xdr:colOff>
      <xdr:row>22</xdr:row>
      <xdr:rowOff>76200</xdr:rowOff>
    </xdr:to>
    <xdr:pic>
      <xdr:nvPicPr>
        <xdr:cNvPr id="12291" name="Immagine 73"/>
        <xdr:cNvPicPr>
          <a:picLocks noChangeAspect="1" noChangeArrowheads="1"/>
        </xdr:cNvPicPr>
      </xdr:nvPicPr>
      <xdr:blipFill>
        <a:blip xmlns:r="http://schemas.openxmlformats.org/officeDocument/2006/relationships" r:embed="rId1" cstate="print"/>
        <a:srcRect/>
        <a:stretch>
          <a:fillRect/>
        </a:stretch>
      </xdr:blipFill>
      <xdr:spPr bwMode="auto">
        <a:xfrm>
          <a:off x="6867525" y="895350"/>
          <a:ext cx="5038725" cy="294322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752475</xdr:colOff>
      <xdr:row>15</xdr:row>
      <xdr:rowOff>104775</xdr:rowOff>
    </xdr:from>
    <xdr:to>
      <xdr:col>3</xdr:col>
      <xdr:colOff>323850</xdr:colOff>
      <xdr:row>17</xdr:row>
      <xdr:rowOff>85725</xdr:rowOff>
    </xdr:to>
    <xdr:pic>
      <xdr:nvPicPr>
        <xdr:cNvPr id="19457"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362075" y="2962275"/>
          <a:ext cx="1457325" cy="361950"/>
        </a:xfrm>
        <a:prstGeom prst="rect">
          <a:avLst/>
        </a:prstGeom>
        <a:noFill/>
        <a:ln w="9525">
          <a:noFill/>
          <a:miter lim="800000"/>
          <a:headEnd/>
          <a:tailEnd/>
        </a:ln>
      </xdr:spPr>
    </xdr:pic>
    <xdr:clientData/>
  </xdr:twoCellAnchor>
  <xdr:twoCellAnchor>
    <xdr:from>
      <xdr:col>1</xdr:col>
      <xdr:colOff>838200</xdr:colOff>
      <xdr:row>20</xdr:row>
      <xdr:rowOff>142875</xdr:rowOff>
    </xdr:from>
    <xdr:to>
      <xdr:col>2</xdr:col>
      <xdr:colOff>695325</xdr:colOff>
      <xdr:row>22</xdr:row>
      <xdr:rowOff>142875</xdr:rowOff>
    </xdr:to>
    <xdr:pic>
      <xdr:nvPicPr>
        <xdr:cNvPr id="19458" name="Picture 3"/>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47800" y="3952875"/>
          <a:ext cx="828675" cy="381000"/>
        </a:xfrm>
        <a:prstGeom prst="rect">
          <a:avLst/>
        </a:prstGeom>
        <a:noFill/>
        <a:ln w="9525">
          <a:noFill/>
          <a:miter lim="800000"/>
          <a:headEnd/>
          <a:tailEnd/>
        </a:ln>
      </xdr:spPr>
    </xdr:pic>
    <xdr:clientData/>
  </xdr:twoCellAnchor>
  <xdr:twoCellAnchor editAs="oneCell">
    <xdr:from>
      <xdr:col>10</xdr:col>
      <xdr:colOff>76200</xdr:colOff>
      <xdr:row>15</xdr:row>
      <xdr:rowOff>19050</xdr:rowOff>
    </xdr:from>
    <xdr:to>
      <xdr:col>19</xdr:col>
      <xdr:colOff>38100</xdr:colOff>
      <xdr:row>35</xdr:row>
      <xdr:rowOff>38100</xdr:rowOff>
    </xdr:to>
    <xdr:pic>
      <xdr:nvPicPr>
        <xdr:cNvPr id="19459" name="Immagine 1"/>
        <xdr:cNvPicPr>
          <a:picLocks noChangeAspect="1" noChangeArrowheads="1"/>
        </xdr:cNvPicPr>
      </xdr:nvPicPr>
      <xdr:blipFill>
        <a:blip xmlns:r="http://schemas.openxmlformats.org/officeDocument/2006/relationships" r:embed="rId3" cstate="print"/>
        <a:srcRect/>
        <a:stretch>
          <a:fillRect/>
        </a:stretch>
      </xdr:blipFill>
      <xdr:spPr bwMode="auto">
        <a:xfrm>
          <a:off x="8801100" y="2876550"/>
          <a:ext cx="6229350" cy="3829050"/>
        </a:xfrm>
        <a:prstGeom prst="rect">
          <a:avLst/>
        </a:prstGeom>
        <a:noFill/>
        <a:ln w="9525">
          <a:noFill/>
          <a:miter lim="800000"/>
          <a:headEnd/>
          <a:tailEnd/>
        </a:ln>
      </xdr:spPr>
    </xdr:pic>
    <xdr:clientData/>
  </xdr:twoCellAnchor>
  <xdr:twoCellAnchor>
    <xdr:from>
      <xdr:col>14</xdr:col>
      <xdr:colOff>123825</xdr:colOff>
      <xdr:row>14</xdr:row>
      <xdr:rowOff>123825</xdr:rowOff>
    </xdr:from>
    <xdr:to>
      <xdr:col>15</xdr:col>
      <xdr:colOff>104775</xdr:colOff>
      <xdr:row>35</xdr:row>
      <xdr:rowOff>104775</xdr:rowOff>
    </xdr:to>
    <xdr:sp macro="" textlink="">
      <xdr:nvSpPr>
        <xdr:cNvPr id="19460" name="Rectangle 21"/>
        <xdr:cNvSpPr>
          <a:spLocks noChangeArrowheads="1"/>
        </xdr:cNvSpPr>
      </xdr:nvSpPr>
      <xdr:spPr bwMode="auto">
        <a:xfrm>
          <a:off x="12068175" y="2790825"/>
          <a:ext cx="590550" cy="3981450"/>
        </a:xfrm>
        <a:prstGeom prst="rect">
          <a:avLst/>
        </a:prstGeom>
        <a:solidFill>
          <a:srgbClr val="FF9900">
            <a:alpha val="10980"/>
          </a:srgbClr>
        </a:solidFill>
        <a:ln w="9525">
          <a:solidFill>
            <a:srgbClr val="000000"/>
          </a:solidFill>
          <a:miter lim="800000"/>
          <a:headEnd/>
          <a:tailEnd/>
        </a:ln>
      </xdr:spPr>
    </xdr:sp>
    <xdr:clientData/>
  </xdr:twoCellAnchor>
  <xdr:twoCellAnchor>
    <xdr:from>
      <xdr:col>8</xdr:col>
      <xdr:colOff>571500</xdr:colOff>
      <xdr:row>17</xdr:row>
      <xdr:rowOff>95250</xdr:rowOff>
    </xdr:from>
    <xdr:to>
      <xdr:col>16</xdr:col>
      <xdr:colOff>342900</xdr:colOff>
      <xdr:row>18</xdr:row>
      <xdr:rowOff>171450</xdr:rowOff>
    </xdr:to>
    <xdr:sp macro="" textlink="">
      <xdr:nvSpPr>
        <xdr:cNvPr id="19461" name="Rectangle 22"/>
        <xdr:cNvSpPr>
          <a:spLocks noChangeArrowheads="1"/>
        </xdr:cNvSpPr>
      </xdr:nvSpPr>
      <xdr:spPr bwMode="auto">
        <a:xfrm>
          <a:off x="8724900" y="3333750"/>
          <a:ext cx="4781550" cy="266700"/>
        </a:xfrm>
        <a:prstGeom prst="rect">
          <a:avLst/>
        </a:prstGeom>
        <a:solidFill>
          <a:srgbClr val="FF9900">
            <a:alpha val="10980"/>
          </a:srgbClr>
        </a:solidFill>
        <a:ln w="9525">
          <a:solidFill>
            <a:srgbClr val="000000"/>
          </a:solidFill>
          <a:miter lim="800000"/>
          <a:headEnd/>
          <a:tailEnd/>
        </a:ln>
      </xdr:spPr>
    </xdr:sp>
    <xdr:clientData/>
  </xdr:twoCellAnchor>
  <xdr:twoCellAnchor>
    <xdr:from>
      <xdr:col>10</xdr:col>
      <xdr:colOff>38100</xdr:colOff>
      <xdr:row>26</xdr:row>
      <xdr:rowOff>9525</xdr:rowOff>
    </xdr:from>
    <xdr:to>
      <xdr:col>16</xdr:col>
      <xdr:colOff>390525</xdr:colOff>
      <xdr:row>27</xdr:row>
      <xdr:rowOff>95250</xdr:rowOff>
    </xdr:to>
    <xdr:sp macro="" textlink="">
      <xdr:nvSpPr>
        <xdr:cNvPr id="19462" name="Rectangle 23"/>
        <xdr:cNvSpPr>
          <a:spLocks noChangeArrowheads="1"/>
        </xdr:cNvSpPr>
      </xdr:nvSpPr>
      <xdr:spPr bwMode="auto">
        <a:xfrm>
          <a:off x="8763000" y="4962525"/>
          <a:ext cx="4791075" cy="276225"/>
        </a:xfrm>
        <a:prstGeom prst="rect">
          <a:avLst/>
        </a:prstGeom>
        <a:solidFill>
          <a:srgbClr val="FF9900">
            <a:alpha val="10980"/>
          </a:srgbClr>
        </a:solidFill>
        <a:ln w="9525">
          <a:solidFill>
            <a:srgbClr val="000000"/>
          </a:solidFill>
          <a:miter lim="800000"/>
          <a:headEnd/>
          <a:tailEnd/>
        </a:ln>
      </xdr:spPr>
    </xdr:sp>
    <xdr:clientData/>
  </xdr:twoCellAnchor>
  <xdr:twoCellAnchor>
    <xdr:from>
      <xdr:col>12</xdr:col>
      <xdr:colOff>438150</xdr:colOff>
      <xdr:row>5</xdr:row>
      <xdr:rowOff>85725</xdr:rowOff>
    </xdr:from>
    <xdr:to>
      <xdr:col>19</xdr:col>
      <xdr:colOff>47625</xdr:colOff>
      <xdr:row>13</xdr:row>
      <xdr:rowOff>66675</xdr:rowOff>
    </xdr:to>
    <xdr:sp macro="" textlink="">
      <xdr:nvSpPr>
        <xdr:cNvPr id="19463" name="Text Box 1"/>
        <xdr:cNvSpPr txBox="1">
          <a:spLocks noChangeArrowheads="1"/>
        </xdr:cNvSpPr>
      </xdr:nvSpPr>
      <xdr:spPr bwMode="auto">
        <a:xfrm>
          <a:off x="11163300" y="1038225"/>
          <a:ext cx="3876675" cy="1504950"/>
        </a:xfrm>
        <a:prstGeom prst="rect">
          <a:avLst/>
        </a:prstGeom>
        <a:solidFill>
          <a:srgbClr val="FFFFFF"/>
        </a:solidFill>
        <a:ln w="12700">
          <a:solidFill>
            <a:srgbClr val="000000"/>
          </a:solidFill>
          <a:miter lim="800000"/>
          <a:headEnd/>
          <a:tailEnd/>
        </a:ln>
      </xdr:spPr>
    </xdr:sp>
    <xdr:clientData/>
  </xdr:twoCellAnchor>
  <xdr:twoCellAnchor>
    <xdr:from>
      <xdr:col>13</xdr:col>
      <xdr:colOff>123825</xdr:colOff>
      <xdr:row>9</xdr:row>
      <xdr:rowOff>66675</xdr:rowOff>
    </xdr:from>
    <xdr:to>
      <xdr:col>17</xdr:col>
      <xdr:colOff>504825</xdr:colOff>
      <xdr:row>9</xdr:row>
      <xdr:rowOff>66675</xdr:rowOff>
    </xdr:to>
    <xdr:sp macro="" textlink="">
      <xdr:nvSpPr>
        <xdr:cNvPr id="19464" name="Line 2"/>
        <xdr:cNvSpPr>
          <a:spLocks noChangeShapeType="1"/>
        </xdr:cNvSpPr>
      </xdr:nvSpPr>
      <xdr:spPr bwMode="auto">
        <a:xfrm>
          <a:off x="11458575" y="1781175"/>
          <a:ext cx="2819400" cy="0"/>
        </a:xfrm>
        <a:prstGeom prst="line">
          <a:avLst/>
        </a:prstGeom>
        <a:noFill/>
        <a:ln w="19050">
          <a:solidFill>
            <a:srgbClr val="000000"/>
          </a:solidFill>
          <a:round/>
          <a:headEnd/>
          <a:tailEnd/>
        </a:ln>
      </xdr:spPr>
    </xdr:sp>
    <xdr:clientData/>
  </xdr:twoCellAnchor>
  <xdr:twoCellAnchor>
    <xdr:from>
      <xdr:col>12</xdr:col>
      <xdr:colOff>571500</xdr:colOff>
      <xdr:row>9</xdr:row>
      <xdr:rowOff>66675</xdr:rowOff>
    </xdr:from>
    <xdr:to>
      <xdr:col>13</xdr:col>
      <xdr:colOff>285750</xdr:colOff>
      <xdr:row>10</xdr:row>
      <xdr:rowOff>142875</xdr:rowOff>
    </xdr:to>
    <xdr:sp macro="" textlink="">
      <xdr:nvSpPr>
        <xdr:cNvPr id="19465" name="AutoShape 3"/>
        <xdr:cNvSpPr>
          <a:spLocks noChangeArrowheads="1"/>
        </xdr:cNvSpPr>
      </xdr:nvSpPr>
      <xdr:spPr bwMode="auto">
        <a:xfrm>
          <a:off x="11296650" y="1781175"/>
          <a:ext cx="323850" cy="266700"/>
        </a:xfrm>
        <a:prstGeom prst="triangle">
          <a:avLst>
            <a:gd name="adj" fmla="val 52500"/>
          </a:avLst>
        </a:prstGeom>
        <a:solidFill>
          <a:srgbClr val="FFFFFF"/>
        </a:solidFill>
        <a:ln w="9525">
          <a:solidFill>
            <a:srgbClr val="000000"/>
          </a:solidFill>
          <a:miter lim="800000"/>
          <a:headEnd/>
          <a:tailEnd/>
        </a:ln>
      </xdr:spPr>
    </xdr:sp>
    <xdr:clientData/>
  </xdr:twoCellAnchor>
  <xdr:twoCellAnchor>
    <xdr:from>
      <xdr:col>17</xdr:col>
      <xdr:colOff>333375</xdr:colOff>
      <xdr:row>9</xdr:row>
      <xdr:rowOff>66675</xdr:rowOff>
    </xdr:from>
    <xdr:to>
      <xdr:col>18</xdr:col>
      <xdr:colOff>38100</xdr:colOff>
      <xdr:row>10</xdr:row>
      <xdr:rowOff>142875</xdr:rowOff>
    </xdr:to>
    <xdr:sp macro="" textlink="">
      <xdr:nvSpPr>
        <xdr:cNvPr id="19466" name="AutoShape 4"/>
        <xdr:cNvSpPr>
          <a:spLocks noChangeArrowheads="1"/>
        </xdr:cNvSpPr>
      </xdr:nvSpPr>
      <xdr:spPr bwMode="auto">
        <a:xfrm>
          <a:off x="14106525" y="1781175"/>
          <a:ext cx="314325" cy="266700"/>
        </a:xfrm>
        <a:prstGeom prst="triangle">
          <a:avLst>
            <a:gd name="adj" fmla="val 52500"/>
          </a:avLst>
        </a:prstGeom>
        <a:solidFill>
          <a:srgbClr val="FFFFFF"/>
        </a:solidFill>
        <a:ln w="9525">
          <a:solidFill>
            <a:srgbClr val="000000"/>
          </a:solidFill>
          <a:miter lim="800000"/>
          <a:headEnd/>
          <a:tailEnd/>
        </a:ln>
      </xdr:spPr>
    </xdr:sp>
    <xdr:clientData/>
  </xdr:twoCellAnchor>
  <xdr:twoCellAnchor>
    <xdr:from>
      <xdr:col>13</xdr:col>
      <xdr:colOff>152400</xdr:colOff>
      <xdr:row>7</xdr:row>
      <xdr:rowOff>57150</xdr:rowOff>
    </xdr:from>
    <xdr:to>
      <xdr:col>13</xdr:col>
      <xdr:colOff>152400</xdr:colOff>
      <xdr:row>9</xdr:row>
      <xdr:rowOff>66675</xdr:rowOff>
    </xdr:to>
    <xdr:sp macro="" textlink="">
      <xdr:nvSpPr>
        <xdr:cNvPr id="19467" name="Line 6"/>
        <xdr:cNvSpPr>
          <a:spLocks noChangeShapeType="1"/>
        </xdr:cNvSpPr>
      </xdr:nvSpPr>
      <xdr:spPr bwMode="auto">
        <a:xfrm>
          <a:off x="11487150" y="1390650"/>
          <a:ext cx="0" cy="390525"/>
        </a:xfrm>
        <a:prstGeom prst="line">
          <a:avLst/>
        </a:prstGeom>
        <a:noFill/>
        <a:ln w="9525">
          <a:solidFill>
            <a:srgbClr val="000000"/>
          </a:solidFill>
          <a:round/>
          <a:headEnd/>
          <a:tailEnd type="triangle" w="med" len="med"/>
        </a:ln>
      </xdr:spPr>
    </xdr:sp>
    <xdr:clientData/>
  </xdr:twoCellAnchor>
  <xdr:twoCellAnchor>
    <xdr:from>
      <xdr:col>13</xdr:col>
      <xdr:colOff>390525</xdr:colOff>
      <xdr:row>7</xdr:row>
      <xdr:rowOff>47625</xdr:rowOff>
    </xdr:from>
    <xdr:to>
      <xdr:col>13</xdr:col>
      <xdr:colOff>390525</xdr:colOff>
      <xdr:row>9</xdr:row>
      <xdr:rowOff>57150</xdr:rowOff>
    </xdr:to>
    <xdr:sp macro="" textlink="">
      <xdr:nvSpPr>
        <xdr:cNvPr id="19468" name="Line 7"/>
        <xdr:cNvSpPr>
          <a:spLocks noChangeShapeType="1"/>
        </xdr:cNvSpPr>
      </xdr:nvSpPr>
      <xdr:spPr bwMode="auto">
        <a:xfrm>
          <a:off x="11725275" y="1381125"/>
          <a:ext cx="0" cy="390525"/>
        </a:xfrm>
        <a:prstGeom prst="line">
          <a:avLst/>
        </a:prstGeom>
        <a:noFill/>
        <a:ln w="9525">
          <a:solidFill>
            <a:srgbClr val="000000"/>
          </a:solidFill>
          <a:round/>
          <a:headEnd/>
          <a:tailEnd type="triangle" w="med" len="med"/>
        </a:ln>
      </xdr:spPr>
    </xdr:sp>
    <xdr:clientData/>
  </xdr:twoCellAnchor>
  <xdr:twoCellAnchor>
    <xdr:from>
      <xdr:col>14</xdr:col>
      <xdr:colOff>47625</xdr:colOff>
      <xdr:row>7</xdr:row>
      <xdr:rowOff>47625</xdr:rowOff>
    </xdr:from>
    <xdr:to>
      <xdr:col>14</xdr:col>
      <xdr:colOff>47625</xdr:colOff>
      <xdr:row>9</xdr:row>
      <xdr:rowOff>57150</xdr:rowOff>
    </xdr:to>
    <xdr:sp macro="" textlink="">
      <xdr:nvSpPr>
        <xdr:cNvPr id="19469" name="Line 8"/>
        <xdr:cNvSpPr>
          <a:spLocks noChangeShapeType="1"/>
        </xdr:cNvSpPr>
      </xdr:nvSpPr>
      <xdr:spPr bwMode="auto">
        <a:xfrm>
          <a:off x="11991975" y="1381125"/>
          <a:ext cx="0" cy="390525"/>
        </a:xfrm>
        <a:prstGeom prst="line">
          <a:avLst/>
        </a:prstGeom>
        <a:noFill/>
        <a:ln w="9525">
          <a:solidFill>
            <a:srgbClr val="000000"/>
          </a:solidFill>
          <a:round/>
          <a:headEnd/>
          <a:tailEnd type="triangle" w="med" len="med"/>
        </a:ln>
      </xdr:spPr>
    </xdr:sp>
    <xdr:clientData/>
  </xdr:twoCellAnchor>
  <xdr:twoCellAnchor>
    <xdr:from>
      <xdr:col>14</xdr:col>
      <xdr:colOff>295275</xdr:colOff>
      <xdr:row>7</xdr:row>
      <xdr:rowOff>47625</xdr:rowOff>
    </xdr:from>
    <xdr:to>
      <xdr:col>14</xdr:col>
      <xdr:colOff>295275</xdr:colOff>
      <xdr:row>9</xdr:row>
      <xdr:rowOff>57150</xdr:rowOff>
    </xdr:to>
    <xdr:sp macro="" textlink="">
      <xdr:nvSpPr>
        <xdr:cNvPr id="19470" name="Line 9"/>
        <xdr:cNvSpPr>
          <a:spLocks noChangeShapeType="1"/>
        </xdr:cNvSpPr>
      </xdr:nvSpPr>
      <xdr:spPr bwMode="auto">
        <a:xfrm>
          <a:off x="12239625" y="1381125"/>
          <a:ext cx="0" cy="390525"/>
        </a:xfrm>
        <a:prstGeom prst="line">
          <a:avLst/>
        </a:prstGeom>
        <a:noFill/>
        <a:ln w="9525">
          <a:solidFill>
            <a:srgbClr val="000000"/>
          </a:solidFill>
          <a:round/>
          <a:headEnd/>
          <a:tailEnd type="triangle" w="med" len="med"/>
        </a:ln>
      </xdr:spPr>
    </xdr:sp>
    <xdr:clientData/>
  </xdr:twoCellAnchor>
  <xdr:twoCellAnchor>
    <xdr:from>
      <xdr:col>14</xdr:col>
      <xdr:colOff>552450</xdr:colOff>
      <xdr:row>7</xdr:row>
      <xdr:rowOff>47625</xdr:rowOff>
    </xdr:from>
    <xdr:to>
      <xdr:col>14</xdr:col>
      <xdr:colOff>552450</xdr:colOff>
      <xdr:row>9</xdr:row>
      <xdr:rowOff>57150</xdr:rowOff>
    </xdr:to>
    <xdr:sp macro="" textlink="">
      <xdr:nvSpPr>
        <xdr:cNvPr id="19471" name="Line 10"/>
        <xdr:cNvSpPr>
          <a:spLocks noChangeShapeType="1"/>
        </xdr:cNvSpPr>
      </xdr:nvSpPr>
      <xdr:spPr bwMode="auto">
        <a:xfrm>
          <a:off x="12496800" y="1381125"/>
          <a:ext cx="0" cy="390525"/>
        </a:xfrm>
        <a:prstGeom prst="line">
          <a:avLst/>
        </a:prstGeom>
        <a:noFill/>
        <a:ln w="9525">
          <a:solidFill>
            <a:srgbClr val="000000"/>
          </a:solidFill>
          <a:round/>
          <a:headEnd/>
          <a:tailEnd type="triangle" w="med" len="med"/>
        </a:ln>
      </xdr:spPr>
    </xdr:sp>
    <xdr:clientData/>
  </xdr:twoCellAnchor>
  <xdr:twoCellAnchor>
    <xdr:from>
      <xdr:col>17</xdr:col>
      <xdr:colOff>228600</xdr:colOff>
      <xdr:row>7</xdr:row>
      <xdr:rowOff>57150</xdr:rowOff>
    </xdr:from>
    <xdr:to>
      <xdr:col>17</xdr:col>
      <xdr:colOff>228600</xdr:colOff>
      <xdr:row>9</xdr:row>
      <xdr:rowOff>66675</xdr:rowOff>
    </xdr:to>
    <xdr:sp macro="" textlink="">
      <xdr:nvSpPr>
        <xdr:cNvPr id="19472" name="Line 11"/>
        <xdr:cNvSpPr>
          <a:spLocks noChangeShapeType="1"/>
        </xdr:cNvSpPr>
      </xdr:nvSpPr>
      <xdr:spPr bwMode="auto">
        <a:xfrm>
          <a:off x="14001750" y="1390650"/>
          <a:ext cx="0" cy="390525"/>
        </a:xfrm>
        <a:prstGeom prst="line">
          <a:avLst/>
        </a:prstGeom>
        <a:noFill/>
        <a:ln w="9525">
          <a:solidFill>
            <a:srgbClr val="000000"/>
          </a:solidFill>
          <a:round/>
          <a:headEnd/>
          <a:tailEnd type="triangle" w="med" len="med"/>
        </a:ln>
      </xdr:spPr>
    </xdr:sp>
    <xdr:clientData/>
  </xdr:twoCellAnchor>
  <xdr:twoCellAnchor>
    <xdr:from>
      <xdr:col>17</xdr:col>
      <xdr:colOff>495300</xdr:colOff>
      <xdr:row>7</xdr:row>
      <xdr:rowOff>57150</xdr:rowOff>
    </xdr:from>
    <xdr:to>
      <xdr:col>17</xdr:col>
      <xdr:colOff>495300</xdr:colOff>
      <xdr:row>9</xdr:row>
      <xdr:rowOff>66675</xdr:rowOff>
    </xdr:to>
    <xdr:sp macro="" textlink="">
      <xdr:nvSpPr>
        <xdr:cNvPr id="19473" name="Line 12"/>
        <xdr:cNvSpPr>
          <a:spLocks noChangeShapeType="1"/>
        </xdr:cNvSpPr>
      </xdr:nvSpPr>
      <xdr:spPr bwMode="auto">
        <a:xfrm>
          <a:off x="14268450" y="1390650"/>
          <a:ext cx="0" cy="390525"/>
        </a:xfrm>
        <a:prstGeom prst="line">
          <a:avLst/>
        </a:prstGeom>
        <a:noFill/>
        <a:ln w="9525">
          <a:solidFill>
            <a:srgbClr val="000000"/>
          </a:solidFill>
          <a:round/>
          <a:headEnd/>
          <a:tailEnd type="triangle" w="med" len="med"/>
        </a:ln>
      </xdr:spPr>
    </xdr:sp>
    <xdr:clientData/>
  </xdr:twoCellAnchor>
  <xdr:twoCellAnchor editAs="oneCell">
    <xdr:from>
      <xdr:col>5</xdr:col>
      <xdr:colOff>133350</xdr:colOff>
      <xdr:row>54</xdr:row>
      <xdr:rowOff>66675</xdr:rowOff>
    </xdr:from>
    <xdr:to>
      <xdr:col>11</xdr:col>
      <xdr:colOff>28575</xdr:colOff>
      <xdr:row>77</xdr:row>
      <xdr:rowOff>76200</xdr:rowOff>
    </xdr:to>
    <xdr:pic>
      <xdr:nvPicPr>
        <xdr:cNvPr id="19474"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3486150" y="10353675"/>
          <a:ext cx="6438900" cy="4391025"/>
        </a:xfrm>
        <a:prstGeom prst="rect">
          <a:avLst/>
        </a:prstGeom>
        <a:noFill/>
        <a:ln w="9525">
          <a:noFill/>
          <a:miter lim="800000"/>
          <a:headEnd/>
          <a:tailEnd/>
        </a:ln>
      </xdr:spPr>
    </xdr:pic>
    <xdr:clientData/>
  </xdr:twoCellAnchor>
  <xdr:twoCellAnchor>
    <xdr:from>
      <xdr:col>16</xdr:col>
      <xdr:colOff>123825</xdr:colOff>
      <xdr:row>7</xdr:row>
      <xdr:rowOff>38100</xdr:rowOff>
    </xdr:from>
    <xdr:to>
      <xdr:col>16</xdr:col>
      <xdr:colOff>123825</xdr:colOff>
      <xdr:row>9</xdr:row>
      <xdr:rowOff>66675</xdr:rowOff>
    </xdr:to>
    <xdr:sp macro="" textlink="">
      <xdr:nvSpPr>
        <xdr:cNvPr id="19475" name="Line 5"/>
        <xdr:cNvSpPr>
          <a:spLocks noChangeShapeType="1"/>
        </xdr:cNvSpPr>
      </xdr:nvSpPr>
      <xdr:spPr bwMode="auto">
        <a:xfrm>
          <a:off x="13287375" y="1371600"/>
          <a:ext cx="0" cy="409575"/>
        </a:xfrm>
        <a:prstGeom prst="line">
          <a:avLst/>
        </a:prstGeom>
        <a:noFill/>
        <a:ln w="9525">
          <a:solidFill>
            <a:srgbClr val="000000"/>
          </a:solidFill>
          <a:round/>
          <a:headEnd/>
          <a:tailEnd type="triangle" w="med" len="med"/>
        </a:ln>
      </xdr:spPr>
    </xdr:sp>
    <xdr:clientData/>
  </xdr:twoCellAnchor>
  <xdr:twoCellAnchor>
    <xdr:from>
      <xdr:col>15</xdr:col>
      <xdr:colOff>257175</xdr:colOff>
      <xdr:row>7</xdr:row>
      <xdr:rowOff>38100</xdr:rowOff>
    </xdr:from>
    <xdr:to>
      <xdr:col>15</xdr:col>
      <xdr:colOff>257175</xdr:colOff>
      <xdr:row>9</xdr:row>
      <xdr:rowOff>66675</xdr:rowOff>
    </xdr:to>
    <xdr:sp macro="" textlink="">
      <xdr:nvSpPr>
        <xdr:cNvPr id="19476" name="Line 5"/>
        <xdr:cNvSpPr>
          <a:spLocks noChangeShapeType="1"/>
        </xdr:cNvSpPr>
      </xdr:nvSpPr>
      <xdr:spPr bwMode="auto">
        <a:xfrm>
          <a:off x="12811125" y="1371600"/>
          <a:ext cx="0" cy="409575"/>
        </a:xfrm>
        <a:prstGeom prst="line">
          <a:avLst/>
        </a:prstGeom>
        <a:noFill/>
        <a:ln w="9525">
          <a:solidFill>
            <a:srgbClr val="000000"/>
          </a:solidFill>
          <a:round/>
          <a:headEnd/>
          <a:tailEnd type="triangle" w="med" len="med"/>
        </a:ln>
      </xdr:spPr>
    </xdr:sp>
    <xdr:clientData/>
  </xdr:twoCellAnchor>
  <xdr:twoCellAnchor>
    <xdr:from>
      <xdr:col>15</xdr:col>
      <xdr:colOff>533400</xdr:colOff>
      <xdr:row>7</xdr:row>
      <xdr:rowOff>38100</xdr:rowOff>
    </xdr:from>
    <xdr:to>
      <xdr:col>15</xdr:col>
      <xdr:colOff>533400</xdr:colOff>
      <xdr:row>9</xdr:row>
      <xdr:rowOff>66675</xdr:rowOff>
    </xdr:to>
    <xdr:sp macro="" textlink="">
      <xdr:nvSpPr>
        <xdr:cNvPr id="19477" name="Line 5"/>
        <xdr:cNvSpPr>
          <a:spLocks noChangeShapeType="1"/>
        </xdr:cNvSpPr>
      </xdr:nvSpPr>
      <xdr:spPr bwMode="auto">
        <a:xfrm>
          <a:off x="13087350" y="1371600"/>
          <a:ext cx="0" cy="409575"/>
        </a:xfrm>
        <a:prstGeom prst="line">
          <a:avLst/>
        </a:prstGeom>
        <a:noFill/>
        <a:ln w="9525">
          <a:solidFill>
            <a:srgbClr val="000000"/>
          </a:solidFill>
          <a:round/>
          <a:headEnd/>
          <a:tailEnd type="triangle" w="med" len="med"/>
        </a:ln>
      </xdr:spPr>
    </xdr:sp>
    <xdr:clientData/>
  </xdr:twoCellAnchor>
  <xdr:twoCellAnchor>
    <xdr:from>
      <xdr:col>16</xdr:col>
      <xdr:colOff>400050</xdr:colOff>
      <xdr:row>7</xdr:row>
      <xdr:rowOff>38100</xdr:rowOff>
    </xdr:from>
    <xdr:to>
      <xdr:col>16</xdr:col>
      <xdr:colOff>400050</xdr:colOff>
      <xdr:row>9</xdr:row>
      <xdr:rowOff>66675</xdr:rowOff>
    </xdr:to>
    <xdr:sp macro="" textlink="">
      <xdr:nvSpPr>
        <xdr:cNvPr id="19478" name="Line 5"/>
        <xdr:cNvSpPr>
          <a:spLocks noChangeShapeType="1"/>
        </xdr:cNvSpPr>
      </xdr:nvSpPr>
      <xdr:spPr bwMode="auto">
        <a:xfrm>
          <a:off x="13563600" y="1371600"/>
          <a:ext cx="0" cy="409575"/>
        </a:xfrm>
        <a:prstGeom prst="line">
          <a:avLst/>
        </a:prstGeom>
        <a:noFill/>
        <a:ln w="9525">
          <a:solidFill>
            <a:srgbClr val="000000"/>
          </a:solidFill>
          <a:round/>
          <a:headEnd/>
          <a:tailEnd type="triangle" w="med" len="med"/>
        </a:ln>
      </xdr:spPr>
    </xdr:sp>
    <xdr:clientData/>
  </xdr:twoCellAnchor>
  <xdr:twoCellAnchor>
    <xdr:from>
      <xdr:col>17</xdr:col>
      <xdr:colOff>19050</xdr:colOff>
      <xdr:row>7</xdr:row>
      <xdr:rowOff>38100</xdr:rowOff>
    </xdr:from>
    <xdr:to>
      <xdr:col>17</xdr:col>
      <xdr:colOff>19050</xdr:colOff>
      <xdr:row>9</xdr:row>
      <xdr:rowOff>66675</xdr:rowOff>
    </xdr:to>
    <xdr:sp macro="" textlink="">
      <xdr:nvSpPr>
        <xdr:cNvPr id="19479" name="Line 5"/>
        <xdr:cNvSpPr>
          <a:spLocks noChangeShapeType="1"/>
        </xdr:cNvSpPr>
      </xdr:nvSpPr>
      <xdr:spPr bwMode="auto">
        <a:xfrm>
          <a:off x="13792200" y="1371600"/>
          <a:ext cx="0" cy="409575"/>
        </a:xfrm>
        <a:prstGeom prst="line">
          <a:avLst/>
        </a:prstGeom>
        <a:noFill/>
        <a:ln w="9525">
          <a:solidFill>
            <a:srgbClr val="000000"/>
          </a:solidFill>
          <a:round/>
          <a:headEnd/>
          <a:tailEnd type="triangle" w="med" len="me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247650</xdr:colOff>
      <xdr:row>21</xdr:row>
      <xdr:rowOff>114300</xdr:rowOff>
    </xdr:from>
    <xdr:to>
      <xdr:col>11</xdr:col>
      <xdr:colOff>447675</xdr:colOff>
      <xdr:row>23</xdr:row>
      <xdr:rowOff>152400</xdr:rowOff>
    </xdr:to>
    <xdr:pic>
      <xdr:nvPicPr>
        <xdr:cNvPr id="20481"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581775" y="4210050"/>
          <a:ext cx="3295650" cy="447675"/>
        </a:xfrm>
        <a:prstGeom prst="rect">
          <a:avLst/>
        </a:prstGeom>
        <a:noFill/>
        <a:ln w="9525">
          <a:noFill/>
          <a:miter lim="800000"/>
          <a:headEnd/>
          <a:tailEnd/>
        </a:ln>
      </xdr:spPr>
    </xdr:pic>
    <xdr:clientData/>
  </xdr:twoCellAnchor>
  <xdr:twoCellAnchor>
    <xdr:from>
      <xdr:col>6</xdr:col>
      <xdr:colOff>304800</xdr:colOff>
      <xdr:row>19</xdr:row>
      <xdr:rowOff>66675</xdr:rowOff>
    </xdr:from>
    <xdr:to>
      <xdr:col>8</xdr:col>
      <xdr:colOff>371475</xdr:colOff>
      <xdr:row>20</xdr:row>
      <xdr:rowOff>76200</xdr:rowOff>
    </xdr:to>
    <xdr:pic>
      <xdr:nvPicPr>
        <xdr:cNvPr id="20482" name="Picture 3"/>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6638925" y="3724275"/>
          <a:ext cx="1285875" cy="200025"/>
        </a:xfrm>
        <a:prstGeom prst="rect">
          <a:avLst/>
        </a:prstGeom>
        <a:noFill/>
        <a:ln w="9525">
          <a:noFill/>
          <a:miter lim="800000"/>
          <a:headEnd/>
          <a:tailEnd/>
        </a:ln>
      </xdr:spPr>
    </xdr:pic>
    <xdr:clientData/>
  </xdr:twoCellAnchor>
  <xdr:twoCellAnchor>
    <xdr:from>
      <xdr:col>6</xdr:col>
      <xdr:colOff>247650</xdr:colOff>
      <xdr:row>15</xdr:row>
      <xdr:rowOff>76200</xdr:rowOff>
    </xdr:from>
    <xdr:to>
      <xdr:col>9</xdr:col>
      <xdr:colOff>152400</xdr:colOff>
      <xdr:row>17</xdr:row>
      <xdr:rowOff>95250</xdr:rowOff>
    </xdr:to>
    <xdr:pic>
      <xdr:nvPicPr>
        <xdr:cNvPr id="20483" name="Picture 4"/>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6581775" y="2971800"/>
          <a:ext cx="1733550" cy="400050"/>
        </a:xfrm>
        <a:prstGeom prst="rect">
          <a:avLst/>
        </a:prstGeom>
        <a:noFill/>
        <a:ln w="9525">
          <a:noFill/>
          <a:miter lim="800000"/>
          <a:headEnd/>
          <a:tailEnd/>
        </a:ln>
      </xdr:spPr>
    </xdr:pic>
    <xdr:clientData/>
  </xdr:twoCellAnchor>
  <xdr:twoCellAnchor editAs="oneCell">
    <xdr:from>
      <xdr:col>10</xdr:col>
      <xdr:colOff>76200</xdr:colOff>
      <xdr:row>8</xdr:row>
      <xdr:rowOff>28575</xdr:rowOff>
    </xdr:from>
    <xdr:to>
      <xdr:col>15</xdr:col>
      <xdr:colOff>352425</xdr:colOff>
      <xdr:row>19</xdr:row>
      <xdr:rowOff>76200</xdr:rowOff>
    </xdr:to>
    <xdr:pic>
      <xdr:nvPicPr>
        <xdr:cNvPr id="20484" name="Immagine 7"/>
        <xdr:cNvPicPr>
          <a:picLocks noChangeAspect="1" noChangeArrowheads="1"/>
        </xdr:cNvPicPr>
      </xdr:nvPicPr>
      <xdr:blipFill>
        <a:blip xmlns:r="http://schemas.openxmlformats.org/officeDocument/2006/relationships" r:embed="rId4" cstate="print"/>
        <a:srcRect/>
        <a:stretch>
          <a:fillRect/>
        </a:stretch>
      </xdr:blipFill>
      <xdr:spPr bwMode="auto">
        <a:xfrm>
          <a:off x="8896350" y="1552575"/>
          <a:ext cx="3324225" cy="2181225"/>
        </a:xfrm>
        <a:prstGeom prst="rect">
          <a:avLst/>
        </a:prstGeom>
        <a:noFill/>
        <a:ln w="9525">
          <a:noFill/>
          <a:miter lim="800000"/>
          <a:headEnd/>
          <a:tailEnd/>
        </a:ln>
      </xdr:spPr>
    </xdr:pic>
    <xdr:clientData/>
  </xdr:twoCellAnchor>
  <xdr:twoCellAnchor>
    <xdr:from>
      <xdr:col>8</xdr:col>
      <xdr:colOff>295275</xdr:colOff>
      <xdr:row>38</xdr:row>
      <xdr:rowOff>19050</xdr:rowOff>
    </xdr:from>
    <xdr:to>
      <xdr:col>11</xdr:col>
      <xdr:colOff>514350</xdr:colOff>
      <xdr:row>39</xdr:row>
      <xdr:rowOff>9525</xdr:rowOff>
    </xdr:to>
    <xdr:pic>
      <xdr:nvPicPr>
        <xdr:cNvPr id="20485" name="Picture 1"/>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a:stretch>
          <a:fillRect/>
        </a:stretch>
      </xdr:blipFill>
      <xdr:spPr bwMode="auto">
        <a:xfrm>
          <a:off x="7848600" y="7458075"/>
          <a:ext cx="2095500" cy="219075"/>
        </a:xfrm>
        <a:prstGeom prst="rect">
          <a:avLst/>
        </a:prstGeom>
        <a:noFill/>
        <a:ln w="9525">
          <a:noFill/>
          <a:miter lim="800000"/>
          <a:headEnd/>
          <a:tailEnd/>
        </a:ln>
      </xdr:spPr>
    </xdr:pic>
    <xdr:clientData/>
  </xdr:twoCellAnchor>
  <xdr:twoCellAnchor>
    <xdr:from>
      <xdr:col>8</xdr:col>
      <xdr:colOff>361950</xdr:colOff>
      <xdr:row>41</xdr:row>
      <xdr:rowOff>0</xdr:rowOff>
    </xdr:from>
    <xdr:to>
      <xdr:col>11</xdr:col>
      <xdr:colOff>447675</xdr:colOff>
      <xdr:row>41</xdr:row>
      <xdr:rowOff>171450</xdr:rowOff>
    </xdr:to>
    <xdr:pic>
      <xdr:nvPicPr>
        <xdr:cNvPr id="20486" name="Picture 2"/>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a:stretch>
          <a:fillRect/>
        </a:stretch>
      </xdr:blipFill>
      <xdr:spPr bwMode="auto">
        <a:xfrm>
          <a:off x="7915275" y="8048625"/>
          <a:ext cx="1962150" cy="171450"/>
        </a:xfrm>
        <a:prstGeom prst="rect">
          <a:avLst/>
        </a:prstGeom>
        <a:noFill/>
        <a:ln w="9525">
          <a:noFill/>
          <a:miter lim="800000"/>
          <a:headEnd/>
          <a:tailEnd/>
        </a:ln>
      </xdr:spPr>
    </xdr:pic>
    <xdr:clientData/>
  </xdr:twoCellAnchor>
  <xdr:twoCellAnchor>
    <xdr:from>
      <xdr:col>6</xdr:col>
      <xdr:colOff>504825</xdr:colOff>
      <xdr:row>42</xdr:row>
      <xdr:rowOff>200025</xdr:rowOff>
    </xdr:from>
    <xdr:to>
      <xdr:col>8</xdr:col>
      <xdr:colOff>209550</xdr:colOff>
      <xdr:row>44</xdr:row>
      <xdr:rowOff>123825</xdr:rowOff>
    </xdr:to>
    <xdr:pic>
      <xdr:nvPicPr>
        <xdr:cNvPr id="20487" name="Picture 3"/>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blip>
        <a:srcRect/>
        <a:stretch>
          <a:fillRect/>
        </a:stretch>
      </xdr:blipFill>
      <xdr:spPr bwMode="auto">
        <a:xfrm>
          <a:off x="6838950" y="8467725"/>
          <a:ext cx="923925" cy="381000"/>
        </a:xfrm>
        <a:prstGeom prst="rect">
          <a:avLst/>
        </a:prstGeom>
        <a:noFill/>
        <a:ln w="9525">
          <a:noFill/>
          <a:miter lim="800000"/>
          <a:headEnd/>
          <a:tailEnd/>
        </a:ln>
      </xdr:spPr>
    </xdr:pic>
    <xdr:clientData/>
  </xdr:twoCellAnchor>
  <xdr:twoCellAnchor editAs="oneCell">
    <xdr:from>
      <xdr:col>1</xdr:col>
      <xdr:colOff>95250</xdr:colOff>
      <xdr:row>49</xdr:row>
      <xdr:rowOff>104775</xdr:rowOff>
    </xdr:from>
    <xdr:to>
      <xdr:col>5</xdr:col>
      <xdr:colOff>142875</xdr:colOff>
      <xdr:row>61</xdr:row>
      <xdr:rowOff>38100</xdr:rowOff>
    </xdr:to>
    <xdr:pic>
      <xdr:nvPicPr>
        <xdr:cNvPr id="20488" name="Immagine 8" descr="Disposizione"/>
        <xdr:cNvPicPr>
          <a:picLocks noChangeAspect="1" noChangeArrowheads="1"/>
        </xdr:cNvPicPr>
      </xdr:nvPicPr>
      <xdr:blipFill>
        <a:blip xmlns:r="http://schemas.openxmlformats.org/officeDocument/2006/relationships" r:embed="rId8" cstate="print"/>
        <a:srcRect/>
        <a:stretch>
          <a:fillRect/>
        </a:stretch>
      </xdr:blipFill>
      <xdr:spPr bwMode="auto">
        <a:xfrm>
          <a:off x="704850" y="9858375"/>
          <a:ext cx="5162550" cy="2219325"/>
        </a:xfrm>
        <a:prstGeom prst="rect">
          <a:avLst/>
        </a:prstGeom>
        <a:noFill/>
        <a:ln w="6350">
          <a:solidFill>
            <a:srgbClr val="000000"/>
          </a:solidFill>
          <a:miter lim="800000"/>
          <a:headEnd/>
          <a:tailEnd/>
        </a:ln>
      </xdr:spPr>
    </xdr:pic>
    <xdr:clientData/>
  </xdr:twoCellAnchor>
  <xdr:twoCellAnchor editAs="oneCell">
    <xdr:from>
      <xdr:col>6</xdr:col>
      <xdr:colOff>57150</xdr:colOff>
      <xdr:row>24</xdr:row>
      <xdr:rowOff>38100</xdr:rowOff>
    </xdr:from>
    <xdr:to>
      <xdr:col>13</xdr:col>
      <xdr:colOff>161925</xdr:colOff>
      <xdr:row>36</xdr:row>
      <xdr:rowOff>114300</xdr:rowOff>
    </xdr:to>
    <xdr:pic>
      <xdr:nvPicPr>
        <xdr:cNvPr id="20489" name="Immagine 1"/>
        <xdr:cNvPicPr>
          <a:picLocks noChangeAspect="1" noChangeArrowheads="1"/>
        </xdr:cNvPicPr>
      </xdr:nvPicPr>
      <xdr:blipFill>
        <a:blip xmlns:r="http://schemas.openxmlformats.org/officeDocument/2006/relationships" r:embed="rId9" cstate="print"/>
        <a:srcRect/>
        <a:stretch>
          <a:fillRect/>
        </a:stretch>
      </xdr:blipFill>
      <xdr:spPr bwMode="auto">
        <a:xfrm>
          <a:off x="6391275" y="4772025"/>
          <a:ext cx="4419600" cy="2400300"/>
        </a:xfrm>
        <a:prstGeom prst="rect">
          <a:avLst/>
        </a:prstGeom>
        <a:noFill/>
        <a:ln w="9525">
          <a:noFill/>
          <a:miter lim="800000"/>
          <a:headEnd/>
          <a:tailEnd/>
        </a:ln>
      </xdr:spPr>
    </xdr:pic>
    <xdr:clientData/>
  </xdr:twoCellAnchor>
  <xdr:twoCellAnchor editAs="oneCell">
    <xdr:from>
      <xdr:col>6</xdr:col>
      <xdr:colOff>123825</xdr:colOff>
      <xdr:row>48</xdr:row>
      <xdr:rowOff>180975</xdr:rowOff>
    </xdr:from>
    <xdr:to>
      <xdr:col>13</xdr:col>
      <xdr:colOff>19050</xdr:colOff>
      <xdr:row>63</xdr:row>
      <xdr:rowOff>19050</xdr:rowOff>
    </xdr:to>
    <xdr:pic>
      <xdr:nvPicPr>
        <xdr:cNvPr id="20490" name="Immagine 1"/>
        <xdr:cNvPicPr>
          <a:picLocks noChangeAspect="1" noChangeArrowheads="1"/>
        </xdr:cNvPicPr>
      </xdr:nvPicPr>
      <xdr:blipFill>
        <a:blip xmlns:r="http://schemas.openxmlformats.org/officeDocument/2006/relationships" r:embed="rId9" cstate="print"/>
        <a:srcRect/>
        <a:stretch>
          <a:fillRect/>
        </a:stretch>
      </xdr:blipFill>
      <xdr:spPr bwMode="auto">
        <a:xfrm>
          <a:off x="6457950" y="9744075"/>
          <a:ext cx="4210050" cy="2695575"/>
        </a:xfrm>
        <a:prstGeom prst="rect">
          <a:avLst/>
        </a:prstGeom>
        <a:noFill/>
        <a:ln w="9525">
          <a:noFill/>
          <a:miter lim="800000"/>
          <a:headEnd/>
          <a:tailEnd/>
        </a:ln>
      </xdr:spPr>
    </xdr:pic>
    <xdr:clientData/>
  </xdr:twoCellAnchor>
  <xdr:twoCellAnchor>
    <xdr:from>
      <xdr:col>5</xdr:col>
      <xdr:colOff>533400</xdr:colOff>
      <xdr:row>26</xdr:row>
      <xdr:rowOff>85725</xdr:rowOff>
    </xdr:from>
    <xdr:to>
      <xdr:col>13</xdr:col>
      <xdr:colOff>390525</xdr:colOff>
      <xdr:row>27</xdr:row>
      <xdr:rowOff>66675</xdr:rowOff>
    </xdr:to>
    <xdr:sp macro="" textlink="">
      <xdr:nvSpPr>
        <xdr:cNvPr id="20491" name="Rectangle 22"/>
        <xdr:cNvSpPr>
          <a:spLocks noChangeArrowheads="1"/>
        </xdr:cNvSpPr>
      </xdr:nvSpPr>
      <xdr:spPr bwMode="auto">
        <a:xfrm>
          <a:off x="6257925" y="5238750"/>
          <a:ext cx="4781550" cy="171450"/>
        </a:xfrm>
        <a:prstGeom prst="rect">
          <a:avLst/>
        </a:prstGeom>
        <a:solidFill>
          <a:srgbClr val="FF9900">
            <a:alpha val="10980"/>
          </a:srgbClr>
        </a:solidFill>
        <a:ln w="9525">
          <a:solidFill>
            <a:srgbClr val="000000"/>
          </a:solidFill>
          <a:miter lim="800000"/>
          <a:headEnd/>
          <a:tailEnd/>
        </a:ln>
      </xdr:spPr>
    </xdr:sp>
    <xdr:clientData/>
  </xdr:twoCellAnchor>
  <xdr:twoCellAnchor>
    <xdr:from>
      <xdr:col>6</xdr:col>
      <xdr:colOff>123825</xdr:colOff>
      <xdr:row>56</xdr:row>
      <xdr:rowOff>133350</xdr:rowOff>
    </xdr:from>
    <xdr:to>
      <xdr:col>12</xdr:col>
      <xdr:colOff>581025</xdr:colOff>
      <xdr:row>57</xdr:row>
      <xdr:rowOff>123825</xdr:rowOff>
    </xdr:to>
    <xdr:sp macro="" textlink="">
      <xdr:nvSpPr>
        <xdr:cNvPr id="20492" name="Rectangle 22"/>
        <xdr:cNvSpPr>
          <a:spLocks noChangeArrowheads="1"/>
        </xdr:cNvSpPr>
      </xdr:nvSpPr>
      <xdr:spPr bwMode="auto">
        <a:xfrm>
          <a:off x="6457950" y="11220450"/>
          <a:ext cx="4162425" cy="180975"/>
        </a:xfrm>
        <a:prstGeom prst="rect">
          <a:avLst/>
        </a:prstGeom>
        <a:solidFill>
          <a:srgbClr val="FF9900">
            <a:alpha val="10980"/>
          </a:srgbClr>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361950</xdr:colOff>
      <xdr:row>13</xdr:row>
      <xdr:rowOff>95250</xdr:rowOff>
    </xdr:from>
    <xdr:to>
      <xdr:col>9</xdr:col>
      <xdr:colOff>504825</xdr:colOff>
      <xdr:row>15</xdr:row>
      <xdr:rowOff>66675</xdr:rowOff>
    </xdr:to>
    <xdr:pic>
      <xdr:nvPicPr>
        <xdr:cNvPr id="21505"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505450" y="2571750"/>
          <a:ext cx="1362075" cy="352425"/>
        </a:xfrm>
        <a:prstGeom prst="rect">
          <a:avLst/>
        </a:prstGeom>
        <a:noFill/>
        <a:ln w="9525">
          <a:noFill/>
          <a:miter lim="800000"/>
          <a:headEnd/>
          <a:tailEnd/>
        </a:ln>
      </xdr:spPr>
    </xdr:pic>
    <xdr:clientData/>
  </xdr:twoCellAnchor>
  <xdr:twoCellAnchor>
    <xdr:from>
      <xdr:col>7</xdr:col>
      <xdr:colOff>381000</xdr:colOff>
      <xdr:row>17</xdr:row>
      <xdr:rowOff>28575</xdr:rowOff>
    </xdr:from>
    <xdr:to>
      <xdr:col>10</xdr:col>
      <xdr:colOff>180975</xdr:colOff>
      <xdr:row>19</xdr:row>
      <xdr:rowOff>123825</xdr:rowOff>
    </xdr:to>
    <xdr:pic>
      <xdr:nvPicPr>
        <xdr:cNvPr id="21506" name="Picture 2"/>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5524500" y="3267075"/>
          <a:ext cx="1628775" cy="476250"/>
        </a:xfrm>
        <a:prstGeom prst="rect">
          <a:avLst/>
        </a:prstGeom>
        <a:noFill/>
        <a:ln w="9525">
          <a:noFill/>
          <a:miter lim="800000"/>
          <a:headEnd/>
          <a:tailEnd/>
        </a:ln>
      </xdr:spPr>
    </xdr:pic>
    <xdr:clientData/>
  </xdr:twoCellAnchor>
  <xdr:twoCellAnchor editAs="oneCell">
    <xdr:from>
      <xdr:col>12</xdr:col>
      <xdr:colOff>85725</xdr:colOff>
      <xdr:row>10</xdr:row>
      <xdr:rowOff>0</xdr:rowOff>
    </xdr:from>
    <xdr:to>
      <xdr:col>22</xdr:col>
      <xdr:colOff>266700</xdr:colOff>
      <xdr:row>30</xdr:row>
      <xdr:rowOff>0</xdr:rowOff>
    </xdr:to>
    <xdr:pic>
      <xdr:nvPicPr>
        <xdr:cNvPr id="21507" name="Immagine 1"/>
        <xdr:cNvPicPr>
          <a:picLocks noChangeAspect="1" noChangeArrowheads="1"/>
        </xdr:cNvPicPr>
      </xdr:nvPicPr>
      <xdr:blipFill>
        <a:blip xmlns:r="http://schemas.openxmlformats.org/officeDocument/2006/relationships" r:embed="rId3" cstate="print"/>
        <a:srcRect/>
        <a:stretch>
          <a:fillRect/>
        </a:stretch>
      </xdr:blipFill>
      <xdr:spPr bwMode="auto">
        <a:xfrm>
          <a:off x="8277225" y="1905000"/>
          <a:ext cx="6276975" cy="3810000"/>
        </a:xfrm>
        <a:prstGeom prst="rect">
          <a:avLst/>
        </a:prstGeom>
        <a:noFill/>
        <a:ln w="9525">
          <a:noFill/>
          <a:miter lim="800000"/>
          <a:headEnd/>
          <a:tailEnd/>
        </a:ln>
      </xdr:spPr>
    </xdr:pic>
    <xdr:clientData/>
  </xdr:twoCellAnchor>
  <xdr:twoCellAnchor>
    <xdr:from>
      <xdr:col>12</xdr:col>
      <xdr:colOff>0</xdr:colOff>
      <xdr:row>12</xdr:row>
      <xdr:rowOff>66675</xdr:rowOff>
    </xdr:from>
    <xdr:to>
      <xdr:col>19</xdr:col>
      <xdr:colOff>581025</xdr:colOff>
      <xdr:row>13</xdr:row>
      <xdr:rowOff>142875</xdr:rowOff>
    </xdr:to>
    <xdr:sp macro="" textlink="">
      <xdr:nvSpPr>
        <xdr:cNvPr id="21508" name="Rectangle 22"/>
        <xdr:cNvSpPr>
          <a:spLocks noChangeArrowheads="1"/>
        </xdr:cNvSpPr>
      </xdr:nvSpPr>
      <xdr:spPr bwMode="auto">
        <a:xfrm>
          <a:off x="8191500" y="2352675"/>
          <a:ext cx="4848225" cy="266700"/>
        </a:xfrm>
        <a:prstGeom prst="rect">
          <a:avLst/>
        </a:prstGeom>
        <a:solidFill>
          <a:srgbClr val="FF9900">
            <a:alpha val="10980"/>
          </a:srgbClr>
        </a:solidFill>
        <a:ln w="9525">
          <a:solidFill>
            <a:srgbClr val="000000"/>
          </a:solidFill>
          <a:miter lim="800000"/>
          <a:headEnd/>
          <a:tailEnd/>
        </a:ln>
      </xdr:spPr>
    </xdr:sp>
    <xdr:clientData/>
  </xdr:twoCellAnchor>
  <xdr:twoCellAnchor>
    <xdr:from>
      <xdr:col>12</xdr:col>
      <xdr:colOff>47625</xdr:colOff>
      <xdr:row>21</xdr:row>
      <xdr:rowOff>9525</xdr:rowOff>
    </xdr:from>
    <xdr:to>
      <xdr:col>20</xdr:col>
      <xdr:colOff>9525</xdr:colOff>
      <xdr:row>22</xdr:row>
      <xdr:rowOff>95250</xdr:rowOff>
    </xdr:to>
    <xdr:sp macro="" textlink="">
      <xdr:nvSpPr>
        <xdr:cNvPr id="21509" name="Rectangle 23"/>
        <xdr:cNvSpPr>
          <a:spLocks noChangeArrowheads="1"/>
        </xdr:cNvSpPr>
      </xdr:nvSpPr>
      <xdr:spPr bwMode="auto">
        <a:xfrm>
          <a:off x="8239125" y="4010025"/>
          <a:ext cx="4838700" cy="276225"/>
        </a:xfrm>
        <a:prstGeom prst="rect">
          <a:avLst/>
        </a:prstGeom>
        <a:solidFill>
          <a:srgbClr val="FF9900">
            <a:alpha val="10980"/>
          </a:srgbClr>
        </a:solidFill>
        <a:ln w="9525">
          <a:solidFill>
            <a:srgbClr val="000000"/>
          </a:solidFill>
          <a:miter lim="800000"/>
          <a:headEnd/>
          <a:tailEnd/>
        </a:ln>
      </xdr:spPr>
    </xdr:sp>
    <xdr:clientData/>
  </xdr:twoCellAnchor>
  <xdr:twoCellAnchor>
    <xdr:from>
      <xdr:col>17</xdr:col>
      <xdr:colOff>333375</xdr:colOff>
      <xdr:row>9</xdr:row>
      <xdr:rowOff>142875</xdr:rowOff>
    </xdr:from>
    <xdr:to>
      <xdr:col>18</xdr:col>
      <xdr:colOff>314325</xdr:colOff>
      <xdr:row>30</xdr:row>
      <xdr:rowOff>104775</xdr:rowOff>
    </xdr:to>
    <xdr:sp macro="" textlink="">
      <xdr:nvSpPr>
        <xdr:cNvPr id="21510" name="Rectangle 21"/>
        <xdr:cNvSpPr>
          <a:spLocks noChangeArrowheads="1"/>
        </xdr:cNvSpPr>
      </xdr:nvSpPr>
      <xdr:spPr bwMode="auto">
        <a:xfrm>
          <a:off x="11572875" y="1857375"/>
          <a:ext cx="590550" cy="3962400"/>
        </a:xfrm>
        <a:prstGeom prst="rect">
          <a:avLst/>
        </a:prstGeom>
        <a:solidFill>
          <a:srgbClr val="FF9900">
            <a:alpha val="10980"/>
          </a:srgbClr>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2.vml"/><Relationship Id="rId1" Type="http://schemas.openxmlformats.org/officeDocument/2006/relationships/printerSettings" Target="../printerSettings/printerSettings9.bin"/><Relationship Id="rId6" Type="http://schemas.openxmlformats.org/officeDocument/2006/relationships/oleObject" Target="../embeddings/oleObject8.bin"/><Relationship Id="rId5" Type="http://schemas.openxmlformats.org/officeDocument/2006/relationships/oleObject" Target="../embeddings/oleObject7.bin"/><Relationship Id="rId4" Type="http://schemas.openxmlformats.org/officeDocument/2006/relationships/oleObject" Target="../embeddings/oleObject6.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oleObject" Target="../embeddings/oleObject10.bin"/><Relationship Id="rId4" Type="http://schemas.openxmlformats.org/officeDocument/2006/relationships/oleObject" Target="../embeddings/oleObject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8.bin"/><Relationship Id="rId6" Type="http://schemas.openxmlformats.org/officeDocument/2006/relationships/oleObject" Target="../embeddings/oleObject4.bin"/><Relationship Id="rId5" Type="http://schemas.openxmlformats.org/officeDocument/2006/relationships/oleObject" Target="../embeddings/oleObject3.bin"/><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dimension ref="A1:K31"/>
  <sheetViews>
    <sheetView topLeftCell="A10" workbookViewId="0">
      <selection activeCell="Q22" sqref="Q22"/>
    </sheetView>
  </sheetViews>
  <sheetFormatPr defaultRowHeight="15"/>
  <sheetData>
    <row r="1" spans="1:11" ht="14.45" customHeight="1">
      <c r="A1" s="457" t="s">
        <v>282</v>
      </c>
      <c r="B1" s="457"/>
      <c r="C1" s="457"/>
      <c r="D1" s="457"/>
      <c r="E1" s="457"/>
      <c r="F1" s="457"/>
      <c r="G1" s="457"/>
      <c r="H1" s="457"/>
      <c r="I1" s="457"/>
      <c r="J1" s="457"/>
      <c r="K1" s="457"/>
    </row>
    <row r="2" spans="1:11">
      <c r="A2" s="457"/>
      <c r="B2" s="457"/>
      <c r="C2" s="457"/>
      <c r="D2" s="457"/>
      <c r="E2" s="457"/>
      <c r="F2" s="457"/>
      <c r="G2" s="457"/>
      <c r="H2" s="457"/>
      <c r="I2" s="457"/>
      <c r="J2" s="457"/>
      <c r="K2" s="457"/>
    </row>
    <row r="3" spans="1:11">
      <c r="A3" s="457"/>
      <c r="B3" s="457"/>
      <c r="C3" s="457"/>
      <c r="D3" s="457"/>
      <c r="E3" s="457"/>
      <c r="F3" s="457"/>
      <c r="G3" s="457"/>
      <c r="H3" s="457"/>
      <c r="I3" s="457"/>
      <c r="J3" s="457"/>
      <c r="K3" s="457"/>
    </row>
    <row r="4" spans="1:11">
      <c r="A4" s="457"/>
      <c r="B4" s="457"/>
      <c r="C4" s="457"/>
      <c r="D4" s="457"/>
      <c r="E4" s="457"/>
      <c r="F4" s="457"/>
      <c r="G4" s="457"/>
      <c r="H4" s="457"/>
      <c r="I4" s="457"/>
      <c r="J4" s="457"/>
      <c r="K4" s="457"/>
    </row>
    <row r="5" spans="1:11">
      <c r="A5" s="457"/>
      <c r="B5" s="457"/>
      <c r="C5" s="457"/>
      <c r="D5" s="457"/>
      <c r="E5" s="457"/>
      <c r="F5" s="457"/>
      <c r="G5" s="457"/>
      <c r="H5" s="457"/>
      <c r="I5" s="457"/>
      <c r="J5" s="457"/>
      <c r="K5" s="457"/>
    </row>
    <row r="6" spans="1:11">
      <c r="A6" s="457"/>
      <c r="B6" s="457"/>
      <c r="C6" s="457"/>
      <c r="D6" s="457"/>
      <c r="E6" s="457"/>
      <c r="F6" s="457"/>
      <c r="G6" s="457"/>
      <c r="H6" s="457"/>
      <c r="I6" s="457"/>
      <c r="J6" s="457"/>
      <c r="K6" s="457"/>
    </row>
    <row r="7" spans="1:11">
      <c r="A7" s="457"/>
      <c r="B7" s="457"/>
      <c r="C7" s="457"/>
      <c r="D7" s="457"/>
      <c r="E7" s="457"/>
      <c r="F7" s="457"/>
      <c r="G7" s="457"/>
      <c r="H7" s="457"/>
      <c r="I7" s="457"/>
      <c r="J7" s="457"/>
      <c r="K7" s="457"/>
    </row>
    <row r="8" spans="1:11">
      <c r="A8" s="457"/>
      <c r="B8" s="457"/>
      <c r="C8" s="457"/>
      <c r="D8" s="457"/>
      <c r="E8" s="457"/>
      <c r="F8" s="457"/>
      <c r="G8" s="457"/>
      <c r="H8" s="457"/>
      <c r="I8" s="457"/>
      <c r="J8" s="457"/>
      <c r="K8" s="457"/>
    </row>
    <row r="9" spans="1:11">
      <c r="A9" s="457"/>
      <c r="B9" s="457"/>
      <c r="C9" s="457"/>
      <c r="D9" s="457"/>
      <c r="E9" s="457"/>
      <c r="F9" s="457"/>
      <c r="G9" s="457"/>
      <c r="H9" s="457"/>
      <c r="I9" s="457"/>
      <c r="J9" s="457"/>
      <c r="K9" s="457"/>
    </row>
    <row r="10" spans="1:11">
      <c r="A10" s="457"/>
      <c r="B10" s="457"/>
      <c r="C10" s="457"/>
      <c r="D10" s="457"/>
      <c r="E10" s="457"/>
      <c r="F10" s="457"/>
      <c r="G10" s="457"/>
      <c r="H10" s="457"/>
      <c r="I10" s="457"/>
      <c r="J10" s="457"/>
      <c r="K10" s="457"/>
    </row>
    <row r="11" spans="1:11">
      <c r="A11" s="457"/>
      <c r="B11" s="457"/>
      <c r="C11" s="457"/>
      <c r="D11" s="457"/>
      <c r="E11" s="457"/>
      <c r="F11" s="457"/>
      <c r="G11" s="457"/>
      <c r="H11" s="457"/>
      <c r="I11" s="457"/>
      <c r="J11" s="457"/>
      <c r="K11" s="457"/>
    </row>
    <row r="12" spans="1:11">
      <c r="A12" s="457"/>
      <c r="B12" s="457"/>
      <c r="C12" s="457"/>
      <c r="D12" s="457"/>
      <c r="E12" s="457"/>
      <c r="F12" s="457"/>
      <c r="G12" s="457"/>
      <c r="H12" s="457"/>
      <c r="I12" s="457"/>
      <c r="J12" s="457"/>
      <c r="K12" s="457"/>
    </row>
    <row r="13" spans="1:11">
      <c r="A13" s="457"/>
      <c r="B13" s="457"/>
      <c r="C13" s="457"/>
      <c r="D13" s="457"/>
      <c r="E13" s="457"/>
      <c r="F13" s="457"/>
      <c r="G13" s="457"/>
      <c r="H13" s="457"/>
      <c r="I13" s="457"/>
      <c r="J13" s="457"/>
      <c r="K13" s="457"/>
    </row>
    <row r="14" spans="1:11">
      <c r="A14" s="457"/>
      <c r="B14" s="457"/>
      <c r="C14" s="457"/>
      <c r="D14" s="457"/>
      <c r="E14" s="457"/>
      <c r="F14" s="457"/>
      <c r="G14" s="457"/>
      <c r="H14" s="457"/>
      <c r="I14" s="457"/>
      <c r="J14" s="457"/>
      <c r="K14" s="457"/>
    </row>
    <row r="15" spans="1:11">
      <c r="A15" s="457"/>
      <c r="B15" s="457"/>
      <c r="C15" s="457"/>
      <c r="D15" s="457"/>
      <c r="E15" s="457"/>
      <c r="F15" s="457"/>
      <c r="G15" s="457"/>
      <c r="H15" s="457"/>
      <c r="I15" s="457"/>
      <c r="J15" s="457"/>
      <c r="K15" s="457"/>
    </row>
    <row r="16" spans="1:11">
      <c r="A16" s="457"/>
      <c r="B16" s="457"/>
      <c r="C16" s="457"/>
      <c r="D16" s="457"/>
      <c r="E16" s="457"/>
      <c r="F16" s="457"/>
      <c r="G16" s="457"/>
      <c r="H16" s="457"/>
      <c r="I16" s="457"/>
      <c r="J16" s="457"/>
      <c r="K16" s="457"/>
    </row>
    <row r="17" spans="1:11">
      <c r="A17" s="457"/>
      <c r="B17" s="457"/>
      <c r="C17" s="457"/>
      <c r="D17" s="457"/>
      <c r="E17" s="457"/>
      <c r="F17" s="457"/>
      <c r="G17" s="457"/>
      <c r="H17" s="457"/>
      <c r="I17" s="457"/>
      <c r="J17" s="457"/>
      <c r="K17" s="457"/>
    </row>
    <row r="18" spans="1:11">
      <c r="A18" s="457"/>
      <c r="B18" s="457"/>
      <c r="C18" s="457"/>
      <c r="D18" s="457"/>
      <c r="E18" s="457"/>
      <c r="F18" s="457"/>
      <c r="G18" s="457"/>
      <c r="H18" s="457"/>
      <c r="I18" s="457"/>
      <c r="J18" s="457"/>
      <c r="K18" s="457"/>
    </row>
    <row r="19" spans="1:11">
      <c r="A19" s="457"/>
      <c r="B19" s="457"/>
      <c r="C19" s="457"/>
      <c r="D19" s="457"/>
      <c r="E19" s="457"/>
      <c r="F19" s="457"/>
      <c r="G19" s="457"/>
      <c r="H19" s="457"/>
      <c r="I19" s="457"/>
      <c r="J19" s="457"/>
      <c r="K19" s="457"/>
    </row>
    <row r="20" spans="1:11">
      <c r="A20" s="457"/>
      <c r="B20" s="457"/>
      <c r="C20" s="457"/>
      <c r="D20" s="457"/>
      <c r="E20" s="457"/>
      <c r="F20" s="457"/>
      <c r="G20" s="457"/>
      <c r="H20" s="457"/>
      <c r="I20" s="457"/>
      <c r="J20" s="457"/>
      <c r="K20" s="457"/>
    </row>
    <row r="21" spans="1:11">
      <c r="A21" s="457"/>
      <c r="B21" s="457"/>
      <c r="C21" s="457"/>
      <c r="D21" s="457"/>
      <c r="E21" s="457"/>
      <c r="F21" s="457"/>
      <c r="G21" s="457"/>
      <c r="H21" s="457"/>
      <c r="I21" s="457"/>
      <c r="J21" s="457"/>
      <c r="K21" s="457"/>
    </row>
    <row r="22" spans="1:11">
      <c r="A22" s="457"/>
      <c r="B22" s="457"/>
      <c r="C22" s="457"/>
      <c r="D22" s="457"/>
      <c r="E22" s="457"/>
      <c r="F22" s="457"/>
      <c r="G22" s="457"/>
      <c r="H22" s="457"/>
      <c r="I22" s="457"/>
      <c r="J22" s="457"/>
      <c r="K22" s="457"/>
    </row>
    <row r="23" spans="1:11">
      <c r="A23" s="457"/>
      <c r="B23" s="457"/>
      <c r="C23" s="457"/>
      <c r="D23" s="457"/>
      <c r="E23" s="457"/>
      <c r="F23" s="457"/>
      <c r="G23" s="457"/>
      <c r="H23" s="457"/>
      <c r="I23" s="457"/>
      <c r="J23" s="457"/>
      <c r="K23" s="457"/>
    </row>
    <row r="24" spans="1:11">
      <c r="A24" s="457"/>
      <c r="B24" s="457"/>
      <c r="C24" s="457"/>
      <c r="D24" s="457"/>
      <c r="E24" s="457"/>
      <c r="F24" s="457"/>
      <c r="G24" s="457"/>
      <c r="H24" s="457"/>
      <c r="I24" s="457"/>
      <c r="J24" s="457"/>
      <c r="K24" s="457"/>
    </row>
    <row r="25" spans="1:11">
      <c r="A25" s="457"/>
      <c r="B25" s="457"/>
      <c r="C25" s="457"/>
      <c r="D25" s="457"/>
      <c r="E25" s="457"/>
      <c r="F25" s="457"/>
      <c r="G25" s="457"/>
      <c r="H25" s="457"/>
      <c r="I25" s="457"/>
      <c r="J25" s="457"/>
      <c r="K25" s="457"/>
    </row>
    <row r="26" spans="1:11">
      <c r="A26" s="457"/>
      <c r="B26" s="457"/>
      <c r="C26" s="457"/>
      <c r="D26" s="457"/>
      <c r="E26" s="457"/>
      <c r="F26" s="457"/>
      <c r="G26" s="457"/>
      <c r="H26" s="457"/>
      <c r="I26" s="457"/>
      <c r="J26" s="457"/>
      <c r="K26" s="457"/>
    </row>
    <row r="27" spans="1:11">
      <c r="A27" s="457"/>
      <c r="B27" s="457"/>
      <c r="C27" s="457"/>
      <c r="D27" s="457"/>
      <c r="E27" s="457"/>
      <c r="F27" s="457"/>
      <c r="G27" s="457"/>
      <c r="H27" s="457"/>
      <c r="I27" s="457"/>
      <c r="J27" s="457"/>
      <c r="K27" s="457"/>
    </row>
    <row r="28" spans="1:11">
      <c r="A28" s="457"/>
      <c r="B28" s="457"/>
      <c r="C28" s="457"/>
      <c r="D28" s="457"/>
      <c r="E28" s="457"/>
      <c r="F28" s="457"/>
      <c r="G28" s="457"/>
      <c r="H28" s="457"/>
      <c r="I28" s="457"/>
      <c r="J28" s="457"/>
      <c r="K28" s="457"/>
    </row>
    <row r="29" spans="1:11">
      <c r="A29" s="457"/>
      <c r="B29" s="457"/>
      <c r="C29" s="457"/>
      <c r="D29" s="457"/>
      <c r="E29" s="457"/>
      <c r="F29" s="457"/>
      <c r="G29" s="457"/>
      <c r="H29" s="457"/>
      <c r="I29" s="457"/>
      <c r="J29" s="457"/>
      <c r="K29" s="457"/>
    </row>
    <row r="30" spans="1:11">
      <c r="A30" s="457"/>
      <c r="B30" s="457"/>
      <c r="C30" s="457"/>
      <c r="D30" s="457"/>
      <c r="E30" s="457"/>
      <c r="F30" s="457"/>
      <c r="G30" s="457"/>
      <c r="H30" s="457"/>
      <c r="I30" s="457"/>
      <c r="J30" s="457"/>
      <c r="K30" s="457"/>
    </row>
    <row r="31" spans="1:11">
      <c r="A31" s="457"/>
      <c r="B31" s="457"/>
      <c r="C31" s="457"/>
      <c r="D31" s="457"/>
      <c r="E31" s="457"/>
      <c r="F31" s="457"/>
      <c r="G31" s="457"/>
      <c r="H31" s="457"/>
      <c r="I31" s="457"/>
      <c r="J31" s="457"/>
      <c r="K31" s="457"/>
    </row>
  </sheetData>
  <mergeCells count="1">
    <mergeCell ref="A1:K31"/>
  </mergeCells>
  <phoneticPr fontId="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dimension ref="A1:T40"/>
  <sheetViews>
    <sheetView topLeftCell="A19" zoomScale="85" workbookViewId="0">
      <selection activeCell="D30" sqref="D30"/>
    </sheetView>
  </sheetViews>
  <sheetFormatPr defaultRowHeight="15.75"/>
  <cols>
    <col min="3" max="3" width="16.5703125" style="73" customWidth="1"/>
    <col min="4" max="4" width="23.85546875" style="73" customWidth="1"/>
    <col min="5" max="5" width="13.5703125" style="73" customWidth="1"/>
    <col min="6" max="6" width="12.140625" style="73" customWidth="1"/>
    <col min="7" max="7" width="13.28515625" style="73" customWidth="1"/>
    <col min="8" max="8" width="11" style="74" customWidth="1"/>
    <col min="9" max="9" width="10.7109375" style="73" customWidth="1"/>
    <col min="10" max="11" width="9.140625" style="73"/>
    <col min="12" max="12" width="9.140625" style="75"/>
    <col min="13" max="13" width="9.140625" style="72"/>
  </cols>
  <sheetData>
    <row r="1" spans="1:20" ht="20.25" customHeight="1">
      <c r="A1" s="254" t="s">
        <v>8</v>
      </c>
      <c r="B1" s="69"/>
      <c r="C1" s="69"/>
      <c r="D1" s="69"/>
      <c r="E1" s="69"/>
      <c r="F1" s="69"/>
      <c r="G1" s="69"/>
      <c r="H1" s="80"/>
      <c r="I1" s="81"/>
      <c r="J1" s="81"/>
      <c r="K1" s="81"/>
      <c r="L1" s="82"/>
      <c r="M1" s="83"/>
      <c r="N1" s="84"/>
      <c r="O1" s="84"/>
      <c r="P1" s="84"/>
      <c r="Q1" s="84"/>
      <c r="R1" s="84"/>
      <c r="S1" s="84"/>
      <c r="T1" s="85"/>
    </row>
    <row r="2" spans="1:20">
      <c r="A2" s="69"/>
      <c r="B2" s="69"/>
      <c r="C2" s="69"/>
      <c r="D2" s="69"/>
      <c r="E2" s="69"/>
      <c r="F2" s="69"/>
      <c r="G2" s="69"/>
      <c r="H2" s="70"/>
      <c r="I2" s="69"/>
      <c r="J2" s="69"/>
      <c r="K2" s="69"/>
      <c r="L2" s="18"/>
      <c r="M2" s="71"/>
      <c r="N2" s="12"/>
      <c r="O2" s="12"/>
      <c r="P2" s="12"/>
      <c r="Q2" s="12"/>
      <c r="R2" s="12"/>
      <c r="S2" s="12"/>
      <c r="T2" s="90"/>
    </row>
    <row r="3" spans="1:20">
      <c r="A3" s="69"/>
      <c r="B3" s="69"/>
      <c r="C3" s="69"/>
      <c r="D3" s="69"/>
      <c r="E3" s="69"/>
      <c r="F3" s="69"/>
      <c r="G3" s="69"/>
      <c r="H3" s="70"/>
      <c r="I3" s="69"/>
      <c r="J3" s="69"/>
      <c r="K3" s="69"/>
      <c r="L3" s="18"/>
      <c r="M3" s="71"/>
      <c r="N3" s="12"/>
      <c r="O3" s="12"/>
      <c r="P3" s="12"/>
      <c r="Q3" s="12"/>
      <c r="R3" s="12"/>
      <c r="S3" s="12"/>
      <c r="T3" s="90"/>
    </row>
    <row r="4" spans="1:20" ht="19.5">
      <c r="A4" s="76" t="s">
        <v>59</v>
      </c>
      <c r="B4" s="77"/>
      <c r="C4" s="77"/>
      <c r="D4" s="77"/>
      <c r="E4" s="78"/>
      <c r="F4" s="78"/>
      <c r="G4" s="79"/>
      <c r="H4" s="70"/>
      <c r="I4" s="69"/>
      <c r="J4" s="69"/>
      <c r="K4" s="69"/>
      <c r="L4" s="18"/>
      <c r="M4" s="71"/>
      <c r="N4" s="12"/>
      <c r="O4" s="12"/>
      <c r="P4" s="12"/>
      <c r="Q4" s="12"/>
      <c r="R4" s="12"/>
      <c r="S4" s="12"/>
      <c r="T4" s="90"/>
    </row>
    <row r="5" spans="1:20" ht="16.5" thickBot="1">
      <c r="A5" s="86" t="s">
        <v>60</v>
      </c>
      <c r="B5" s="87"/>
      <c r="C5" s="88"/>
      <c r="D5" s="88"/>
      <c r="E5" s="88"/>
      <c r="F5" s="88"/>
      <c r="G5" s="89"/>
      <c r="H5" s="70"/>
      <c r="I5" s="69"/>
      <c r="J5" s="69"/>
      <c r="K5" s="69"/>
      <c r="L5" s="69"/>
      <c r="M5" s="71"/>
      <c r="N5" s="12"/>
      <c r="O5" s="12"/>
      <c r="P5" s="12"/>
      <c r="Q5" s="12"/>
      <c r="R5" s="12"/>
      <c r="S5" s="12"/>
      <c r="T5" s="90"/>
    </row>
    <row r="6" spans="1:20">
      <c r="A6" s="91"/>
      <c r="B6" s="12"/>
      <c r="C6" s="69"/>
      <c r="D6" s="69"/>
      <c r="E6" s="69"/>
      <c r="F6" s="69"/>
      <c r="G6" s="69"/>
      <c r="H6" s="70"/>
      <c r="I6" s="69"/>
      <c r="J6" s="69"/>
      <c r="K6" s="69"/>
      <c r="L6" s="18"/>
      <c r="M6" s="71"/>
      <c r="N6" s="12"/>
      <c r="O6" s="12"/>
      <c r="P6" s="12"/>
      <c r="Q6" s="12"/>
      <c r="R6" s="12"/>
      <c r="S6" s="12"/>
      <c r="T6" s="90"/>
    </row>
    <row r="7" spans="1:20">
      <c r="A7" s="341" t="s">
        <v>287</v>
      </c>
      <c r="B7" s="342"/>
      <c r="C7" s="342"/>
      <c r="D7" s="342"/>
      <c r="E7" s="342"/>
      <c r="F7" s="69"/>
      <c r="G7" s="69"/>
      <c r="H7" s="70"/>
      <c r="I7" s="69"/>
      <c r="J7" s="69"/>
      <c r="K7" s="69"/>
      <c r="L7" s="18"/>
      <c r="M7" s="71"/>
      <c r="N7" s="12"/>
      <c r="O7" s="12"/>
      <c r="P7" s="12"/>
      <c r="Q7" s="12"/>
      <c r="R7" s="12"/>
      <c r="S7" s="12"/>
      <c r="T7" s="90"/>
    </row>
    <row r="8" spans="1:20">
      <c r="A8" s="343"/>
      <c r="B8" s="342"/>
      <c r="C8" s="342"/>
      <c r="D8" s="342"/>
      <c r="E8" s="342"/>
      <c r="F8" s="69"/>
      <c r="G8" s="69"/>
      <c r="H8" s="70"/>
      <c r="I8" s="69"/>
      <c r="J8" s="69"/>
      <c r="K8" s="69"/>
      <c r="L8" s="18"/>
      <c r="M8" s="71"/>
      <c r="N8" s="12"/>
      <c r="O8" s="12"/>
      <c r="P8" s="12"/>
      <c r="Q8" s="12"/>
      <c r="R8" s="12"/>
      <c r="S8" s="12"/>
      <c r="T8" s="90"/>
    </row>
    <row r="9" spans="1:20">
      <c r="A9" s="342"/>
      <c r="B9" s="4"/>
      <c r="C9" s="343" t="s">
        <v>288</v>
      </c>
      <c r="D9" s="344"/>
      <c r="E9" s="344"/>
      <c r="F9" s="345"/>
      <c r="G9" s="69"/>
      <c r="H9" s="70"/>
      <c r="I9" s="69"/>
      <c r="J9" s="69"/>
      <c r="K9" s="69"/>
      <c r="L9" s="18"/>
      <c r="M9" s="71"/>
      <c r="N9" s="12"/>
      <c r="O9" s="12"/>
      <c r="P9" s="12"/>
      <c r="Q9" s="12"/>
      <c r="R9" s="12"/>
      <c r="S9" s="12"/>
      <c r="T9" s="90"/>
    </row>
    <row r="10" spans="1:20" ht="16.5" thickBot="1">
      <c r="A10" s="91"/>
      <c r="B10" s="69"/>
      <c r="C10" s="69"/>
      <c r="D10" s="69"/>
      <c r="E10" s="69"/>
      <c r="F10" s="69"/>
      <c r="G10" s="69"/>
      <c r="H10" s="70"/>
      <c r="I10" s="69"/>
      <c r="J10" s="69"/>
      <c r="K10" s="69"/>
      <c r="L10" s="18"/>
      <c r="M10" s="71"/>
      <c r="N10" s="12"/>
      <c r="O10" s="12"/>
      <c r="P10" s="12"/>
      <c r="Q10" s="12"/>
      <c r="R10" s="12"/>
      <c r="S10" s="12"/>
      <c r="T10" s="90"/>
    </row>
    <row r="11" spans="1:20" ht="57" customHeight="1" thickBot="1">
      <c r="A11" s="91"/>
      <c r="B11" s="12"/>
      <c r="C11" s="69"/>
      <c r="D11" s="31" t="s">
        <v>42</v>
      </c>
      <c r="E11" s="31" t="s">
        <v>43</v>
      </c>
      <c r="F11" s="31" t="s">
        <v>44</v>
      </c>
      <c r="G11" s="31" t="s">
        <v>45</v>
      </c>
      <c r="H11" s="31" t="s">
        <v>46</v>
      </c>
      <c r="I11" s="69"/>
      <c r="J11" s="69"/>
      <c r="K11" s="69"/>
      <c r="L11" s="18"/>
      <c r="M11" s="71"/>
      <c r="N11" s="12"/>
      <c r="O11" s="12"/>
      <c r="P11" s="12"/>
      <c r="Q11" s="12"/>
      <c r="R11" s="12"/>
      <c r="S11" s="12"/>
      <c r="T11" s="90"/>
    </row>
    <row r="12" spans="1:20" ht="16.5" thickBot="1">
      <c r="A12" s="91"/>
      <c r="B12" s="12"/>
      <c r="C12" s="69"/>
      <c r="D12" s="265">
        <v>30</v>
      </c>
      <c r="E12" s="33">
        <f>SUM(45,-$D$12/2)</f>
        <v>30</v>
      </c>
      <c r="F12" s="34">
        <f>RADIANS($E$12)</f>
        <v>0.52359877559829882</v>
      </c>
      <c r="G12" s="33">
        <f>TAN($F$12)</f>
        <v>0.57735026918962573</v>
      </c>
      <c r="H12" s="35">
        <f>POWER($G$12,2)</f>
        <v>0.33333333333333331</v>
      </c>
      <c r="I12" s="69"/>
      <c r="J12" s="69"/>
      <c r="K12" s="69"/>
      <c r="L12" s="18"/>
      <c r="M12" s="71"/>
      <c r="N12" s="12"/>
      <c r="O12" s="12"/>
      <c r="P12" s="12"/>
      <c r="Q12" s="12"/>
      <c r="R12" s="12"/>
      <c r="S12" s="12"/>
      <c r="T12" s="90"/>
    </row>
    <row r="13" spans="1:20" ht="82.5" customHeight="1" thickBot="1">
      <c r="A13" s="91"/>
      <c r="B13" s="12"/>
      <c r="C13" s="69"/>
      <c r="D13" s="31" t="s">
        <v>47</v>
      </c>
      <c r="E13" s="31" t="s">
        <v>48</v>
      </c>
      <c r="F13" s="31" t="s">
        <v>49</v>
      </c>
      <c r="G13" s="31" t="s">
        <v>50</v>
      </c>
      <c r="H13" s="31" t="s">
        <v>51</v>
      </c>
      <c r="I13" s="31" t="s">
        <v>52</v>
      </c>
      <c r="J13" s="69"/>
      <c r="K13" s="69"/>
      <c r="L13" s="18"/>
      <c r="M13" s="71"/>
      <c r="N13" s="12"/>
      <c r="O13" s="12"/>
      <c r="P13" s="12"/>
      <c r="Q13" s="12"/>
      <c r="R13" s="12"/>
      <c r="S13" s="12"/>
      <c r="T13" s="90"/>
    </row>
    <row r="14" spans="1:20" ht="16.5" thickBot="1">
      <c r="A14" s="91"/>
      <c r="B14" s="12"/>
      <c r="C14" s="69"/>
      <c r="D14" s="265">
        <v>10</v>
      </c>
      <c r="E14" s="36">
        <f>RADIANS($D$14)</f>
        <v>0.17453292519943295</v>
      </c>
      <c r="F14" s="37">
        <f>COS($E$14)</f>
        <v>0.98480775301220802</v>
      </c>
      <c r="G14" s="38">
        <f>POWER($F$14,2)</f>
        <v>0.9698463103929541</v>
      </c>
      <c r="H14" s="38">
        <f>TAN($E$14)</f>
        <v>0.17632698070846498</v>
      </c>
      <c r="I14" s="38">
        <f>POWER($H$14,2)</f>
        <v>3.109120412576338E-2</v>
      </c>
      <c r="J14" s="69"/>
      <c r="K14" s="69"/>
      <c r="L14" s="18"/>
      <c r="M14" s="71"/>
      <c r="N14" s="12"/>
      <c r="O14" s="12"/>
      <c r="P14" s="12"/>
      <c r="Q14" s="12"/>
      <c r="R14" s="12"/>
      <c r="S14" s="12"/>
      <c r="T14" s="90"/>
    </row>
    <row r="15" spans="1:20" ht="45" customHeight="1" thickBot="1">
      <c r="A15" s="91"/>
      <c r="B15" s="12"/>
      <c r="C15" s="69"/>
      <c r="D15" s="31" t="s">
        <v>414</v>
      </c>
      <c r="E15" s="92"/>
      <c r="F15" s="92"/>
      <c r="G15" s="92"/>
      <c r="H15" s="92"/>
      <c r="I15" s="69"/>
      <c r="J15" s="69"/>
      <c r="K15" s="69"/>
      <c r="L15" s="18"/>
      <c r="M15" s="71"/>
      <c r="N15" s="12"/>
      <c r="O15" s="12"/>
      <c r="P15" s="12"/>
      <c r="Q15" s="12"/>
      <c r="R15" s="12"/>
      <c r="S15" s="12"/>
      <c r="T15" s="90"/>
    </row>
    <row r="16" spans="1:20" ht="16.5" thickBot="1">
      <c r="A16" s="91"/>
      <c r="B16" s="12"/>
      <c r="C16" s="69"/>
      <c r="D16" s="265">
        <v>1.5</v>
      </c>
      <c r="E16" s="69"/>
      <c r="F16" s="69"/>
      <c r="G16" s="69"/>
      <c r="H16" s="70"/>
      <c r="I16" s="69"/>
      <c r="J16" s="69"/>
      <c r="K16" s="69"/>
      <c r="L16" s="18"/>
      <c r="M16" s="71"/>
      <c r="N16" s="12"/>
      <c r="O16" s="12"/>
      <c r="P16" s="12"/>
      <c r="Q16" s="12"/>
      <c r="R16" s="12"/>
      <c r="S16" s="12"/>
      <c r="T16" s="90"/>
    </row>
    <row r="17" spans="1:20" ht="48" customHeight="1" thickBot="1">
      <c r="A17" s="91"/>
      <c r="B17" s="12"/>
      <c r="C17" s="69"/>
      <c r="D17" s="31" t="s">
        <v>444</v>
      </c>
      <c r="E17" s="92"/>
      <c r="F17" s="92"/>
      <c r="G17" s="92"/>
      <c r="H17" s="92"/>
      <c r="I17" s="69"/>
      <c r="J17" s="69"/>
      <c r="K17" s="69"/>
      <c r="L17" s="18"/>
      <c r="M17" s="71"/>
      <c r="N17" s="12"/>
      <c r="O17" s="12"/>
      <c r="P17" s="12"/>
      <c r="Q17" s="12"/>
      <c r="R17" s="12"/>
      <c r="S17" s="12"/>
      <c r="T17" s="90"/>
    </row>
    <row r="18" spans="1:20" ht="16.5" thickBot="1">
      <c r="A18" s="91"/>
      <c r="B18" s="12"/>
      <c r="C18" s="69"/>
      <c r="D18" s="265">
        <v>22.5</v>
      </c>
      <c r="E18" s="69"/>
      <c r="F18" s="69"/>
      <c r="G18" s="69"/>
      <c r="H18" s="70"/>
      <c r="I18" s="69"/>
      <c r="J18" s="69"/>
      <c r="K18" s="69"/>
      <c r="L18" s="18"/>
      <c r="M18" s="71"/>
      <c r="N18" s="12"/>
      <c r="O18" s="12"/>
      <c r="P18" s="12"/>
      <c r="Q18" s="12"/>
      <c r="R18" s="12"/>
      <c r="S18" s="12"/>
      <c r="T18" s="90"/>
    </row>
    <row r="19" spans="1:20" ht="47.25" customHeight="1" thickBot="1">
      <c r="A19" s="91"/>
      <c r="B19" s="12"/>
      <c r="C19" s="69"/>
      <c r="D19" s="31" t="s">
        <v>445</v>
      </c>
      <c r="E19" s="92"/>
      <c r="F19" s="92"/>
      <c r="G19" s="92"/>
      <c r="H19" s="92"/>
      <c r="I19" s="69"/>
      <c r="J19" s="69"/>
      <c r="K19" s="69"/>
      <c r="L19" s="18"/>
      <c r="M19" s="71"/>
      <c r="N19" s="12"/>
      <c r="O19" s="12"/>
      <c r="P19" s="12"/>
      <c r="Q19" s="12"/>
      <c r="R19" s="12"/>
      <c r="S19" s="12"/>
      <c r="T19" s="90"/>
    </row>
    <row r="20" spans="1:20" ht="16.5" thickBot="1">
      <c r="A20" s="91"/>
      <c r="B20" s="12"/>
      <c r="C20" s="69"/>
      <c r="D20" s="265">
        <v>20.5</v>
      </c>
      <c r="E20" s="69"/>
      <c r="F20" s="69"/>
      <c r="G20" s="69"/>
      <c r="H20" s="70"/>
      <c r="I20" s="69"/>
      <c r="J20" s="69"/>
      <c r="K20" s="69"/>
      <c r="L20" s="18"/>
      <c r="M20" s="71"/>
      <c r="N20" s="12"/>
      <c r="O20" s="12"/>
      <c r="P20" s="12"/>
      <c r="Q20" s="12"/>
      <c r="R20" s="12"/>
      <c r="S20" s="12"/>
      <c r="T20" s="90"/>
    </row>
    <row r="21" spans="1:20" ht="57.75" customHeight="1" thickBot="1">
      <c r="A21" s="91"/>
      <c r="B21" s="12"/>
      <c r="C21" s="69"/>
      <c r="D21" s="31" t="s">
        <v>446</v>
      </c>
      <c r="E21" s="69"/>
      <c r="F21" s="69"/>
      <c r="G21" s="69"/>
      <c r="H21" s="70"/>
      <c r="I21" s="69"/>
      <c r="J21" s="69"/>
      <c r="K21" s="69"/>
      <c r="L21" s="18"/>
      <c r="M21" s="71"/>
      <c r="N21" s="12"/>
      <c r="O21" s="12"/>
      <c r="P21" s="12"/>
      <c r="Q21" s="12"/>
      <c r="R21" s="12"/>
      <c r="S21" s="12"/>
      <c r="T21" s="90"/>
    </row>
    <row r="22" spans="1:20" ht="16.5" thickBot="1">
      <c r="A22" s="91"/>
      <c r="B22" s="12"/>
      <c r="C22" s="69"/>
      <c r="D22" s="265">
        <v>1.3</v>
      </c>
      <c r="E22" s="69"/>
      <c r="F22" s="69"/>
      <c r="G22" s="69"/>
      <c r="H22" s="70"/>
      <c r="I22" s="69"/>
      <c r="J22" s="69"/>
      <c r="K22" s="69"/>
      <c r="L22" s="18"/>
      <c r="M22" s="71"/>
      <c r="N22" s="12"/>
      <c r="O22" s="12"/>
      <c r="P22" s="12"/>
      <c r="Q22" s="12"/>
      <c r="R22" s="12"/>
      <c r="S22" s="12"/>
      <c r="T22" s="90"/>
    </row>
    <row r="23" spans="1:20" ht="49.5" customHeight="1" thickBot="1">
      <c r="A23" s="91"/>
      <c r="B23" s="12"/>
      <c r="C23" s="69"/>
      <c r="D23" s="31" t="s">
        <v>54</v>
      </c>
      <c r="E23" s="69"/>
      <c r="F23" s="69"/>
      <c r="G23" s="69"/>
      <c r="H23" s="70"/>
      <c r="I23" s="69"/>
      <c r="J23" s="69"/>
      <c r="K23" s="69"/>
      <c r="L23" s="18"/>
      <c r="M23" s="71"/>
      <c r="N23" s="12"/>
      <c r="O23" s="12"/>
      <c r="P23" s="12"/>
      <c r="Q23" s="12"/>
      <c r="R23" s="12"/>
      <c r="S23" s="12"/>
      <c r="T23" s="90"/>
    </row>
    <row r="24" spans="1:20" ht="16.5" thickBot="1">
      <c r="A24" s="91"/>
      <c r="B24" s="12"/>
      <c r="C24" s="69"/>
      <c r="D24" s="265">
        <v>0.75</v>
      </c>
      <c r="E24" s="69"/>
      <c r="F24" s="69"/>
      <c r="G24" s="69"/>
      <c r="H24" s="70"/>
      <c r="I24" s="69"/>
      <c r="J24" s="69"/>
      <c r="K24" s="69"/>
      <c r="L24" s="18"/>
      <c r="M24" s="71"/>
      <c r="N24" s="12"/>
      <c r="O24" s="12"/>
      <c r="P24" s="12"/>
      <c r="Q24" s="12"/>
      <c r="R24" s="12"/>
      <c r="S24" s="12"/>
      <c r="T24" s="90"/>
    </row>
    <row r="25" spans="1:20">
      <c r="A25" s="91"/>
      <c r="B25" s="12"/>
      <c r="C25" s="69"/>
      <c r="D25" s="93"/>
      <c r="E25" s="69"/>
      <c r="F25" s="69"/>
      <c r="G25" s="69"/>
      <c r="H25" s="70"/>
      <c r="I25" s="69"/>
      <c r="J25" s="69"/>
      <c r="K25" s="69"/>
      <c r="L25" s="18"/>
      <c r="M25" s="71"/>
      <c r="N25" s="12"/>
      <c r="O25" s="12"/>
      <c r="P25" s="12"/>
      <c r="Q25" s="12"/>
      <c r="R25" s="12"/>
      <c r="S25" s="12"/>
      <c r="T25" s="90"/>
    </row>
    <row r="26" spans="1:20">
      <c r="A26" s="91"/>
      <c r="B26" s="12"/>
      <c r="C26" s="69"/>
      <c r="D26" s="93"/>
      <c r="E26" s="69"/>
      <c r="F26" s="69"/>
      <c r="G26" s="69"/>
      <c r="H26" s="70"/>
      <c r="I26" s="69"/>
      <c r="J26" s="69"/>
      <c r="K26" s="69"/>
      <c r="L26" s="18"/>
      <c r="M26" s="71"/>
      <c r="N26" s="12"/>
      <c r="O26" s="12"/>
      <c r="P26" s="12"/>
      <c r="Q26" s="12"/>
      <c r="R26" s="12"/>
      <c r="S26" s="12"/>
      <c r="T26" s="90"/>
    </row>
    <row r="27" spans="1:20">
      <c r="A27" s="91"/>
      <c r="B27" s="12"/>
      <c r="C27" s="69"/>
      <c r="D27" s="93"/>
      <c r="E27" s="69"/>
      <c r="F27" s="69"/>
      <c r="G27" s="69"/>
      <c r="H27" s="70"/>
      <c r="I27" s="69"/>
      <c r="J27" s="69"/>
      <c r="K27" s="69"/>
      <c r="L27" s="18"/>
      <c r="M27" s="71"/>
      <c r="N27" s="12"/>
      <c r="O27" s="12"/>
      <c r="P27" s="12"/>
      <c r="Q27" s="12"/>
      <c r="R27" s="12"/>
      <c r="S27" s="12"/>
      <c r="T27" s="90"/>
    </row>
    <row r="28" spans="1:20" ht="16.5" thickBot="1">
      <c r="A28" s="91"/>
      <c r="B28" s="12"/>
      <c r="C28" s="69"/>
      <c r="D28" s="69"/>
      <c r="E28" s="69"/>
      <c r="F28" s="69"/>
      <c r="G28" s="69"/>
      <c r="H28" s="70"/>
      <c r="I28" s="69"/>
      <c r="J28" s="69"/>
      <c r="K28" s="69"/>
      <c r="L28" s="18"/>
      <c r="M28" s="71"/>
      <c r="N28" s="12"/>
      <c r="O28" s="12"/>
      <c r="P28" s="12"/>
      <c r="Q28" s="12"/>
      <c r="R28" s="12"/>
      <c r="S28" s="12"/>
      <c r="T28" s="90"/>
    </row>
    <row r="29" spans="1:20" ht="16.5" thickBot="1">
      <c r="A29" s="91"/>
      <c r="B29" s="478" t="s">
        <v>55</v>
      </c>
      <c r="C29" s="467"/>
      <c r="D29" s="32">
        <f>SQRT($I$14/4+$D$16*$D$18/3/$D$20*$G$14*$H$12)-$H$14/2</f>
        <v>0.3421662802510283</v>
      </c>
      <c r="E29" s="468" t="s">
        <v>56</v>
      </c>
      <c r="F29" s="469"/>
      <c r="G29" s="470"/>
      <c r="H29" s="70"/>
      <c r="I29" s="69"/>
      <c r="J29" s="69"/>
      <c r="K29" s="69"/>
      <c r="L29" s="18"/>
      <c r="M29" s="71"/>
      <c r="N29" s="12"/>
      <c r="O29" s="12"/>
      <c r="P29" s="12"/>
      <c r="Q29" s="12"/>
      <c r="R29" s="12"/>
      <c r="S29" s="12"/>
      <c r="T29" s="90"/>
    </row>
    <row r="30" spans="1:20" ht="16.5" thickBot="1">
      <c r="A30" s="91"/>
      <c r="B30" s="464" t="s">
        <v>57</v>
      </c>
      <c r="C30" s="465"/>
      <c r="D30" s="32">
        <f>SQRT($I$14/4+1/6*$D$16*$G$14)-$H$14/2</f>
        <v>0.41207083336784017</v>
      </c>
      <c r="E30" s="471"/>
      <c r="F30" s="472"/>
      <c r="G30" s="473"/>
      <c r="H30" s="70"/>
      <c r="I30" s="69"/>
      <c r="J30" s="69"/>
      <c r="K30" s="69"/>
      <c r="L30" s="18"/>
      <c r="M30" s="71"/>
      <c r="N30" s="12"/>
      <c r="O30" s="12"/>
      <c r="P30" s="12"/>
      <c r="Q30" s="12"/>
      <c r="R30" s="12"/>
      <c r="S30" s="12"/>
      <c r="T30" s="90"/>
    </row>
    <row r="31" spans="1:20" ht="16.5" thickBot="1">
      <c r="A31" s="91"/>
      <c r="B31" s="12"/>
      <c r="C31" s="12"/>
      <c r="D31" s="12"/>
      <c r="E31" s="12"/>
      <c r="F31" s="12"/>
      <c r="G31" s="12"/>
      <c r="H31" s="70"/>
      <c r="I31" s="69"/>
      <c r="J31" s="69"/>
      <c r="K31" s="69"/>
      <c r="L31" s="18"/>
      <c r="M31" s="71"/>
      <c r="N31" s="12"/>
      <c r="O31" s="12"/>
      <c r="P31" s="12"/>
      <c r="Q31" s="12"/>
      <c r="R31" s="12"/>
      <c r="S31" s="12"/>
      <c r="T31" s="90"/>
    </row>
    <row r="32" spans="1:20" ht="16.5" thickBot="1">
      <c r="A32" s="91"/>
      <c r="B32" s="478" t="s">
        <v>55</v>
      </c>
      <c r="C32" s="467"/>
      <c r="D32" s="32">
        <f>$F$14*($D$22*$D$18/2/$D$20*$H$12*$F$14)/($D$24+$D$22*$H$14)</f>
        <v>0.23552724442607001</v>
      </c>
      <c r="E32" s="468" t="s">
        <v>58</v>
      </c>
      <c r="F32" s="469"/>
      <c r="G32" s="470"/>
      <c r="H32" s="70"/>
      <c r="I32" s="69"/>
      <c r="J32" s="69"/>
      <c r="K32" s="69"/>
      <c r="L32" s="18"/>
      <c r="M32" s="71"/>
      <c r="N32" s="12"/>
      <c r="O32" s="12"/>
      <c r="P32" s="12"/>
      <c r="Q32" s="12"/>
      <c r="R32" s="12"/>
      <c r="S32" s="12"/>
      <c r="T32" s="90"/>
    </row>
    <row r="33" spans="1:20" ht="16.5" thickBot="1">
      <c r="A33" s="91"/>
      <c r="B33" s="464" t="s">
        <v>57</v>
      </c>
      <c r="C33" s="465"/>
      <c r="D33" s="32">
        <f>$F$14*1/4*($D$22*$F$14)/($D$24+$H$14)</f>
        <v>0.34026867125973342</v>
      </c>
      <c r="E33" s="471"/>
      <c r="F33" s="472"/>
      <c r="G33" s="473"/>
      <c r="H33" s="70"/>
      <c r="I33" s="69"/>
      <c r="J33" s="69"/>
      <c r="K33" s="69"/>
      <c r="L33" s="18"/>
      <c r="M33" s="71"/>
      <c r="N33" s="12"/>
      <c r="O33" s="12"/>
      <c r="P33" s="12"/>
      <c r="Q33" s="12"/>
      <c r="R33" s="12"/>
      <c r="S33" s="12"/>
      <c r="T33" s="90"/>
    </row>
    <row r="34" spans="1:20">
      <c r="A34" s="91"/>
      <c r="B34" s="12"/>
      <c r="C34" s="69"/>
      <c r="D34" s="69"/>
      <c r="E34" s="69"/>
      <c r="F34" s="69"/>
      <c r="G34" s="69"/>
      <c r="H34" s="70"/>
      <c r="I34" s="69"/>
      <c r="J34" s="69"/>
      <c r="K34" s="69"/>
      <c r="L34" s="18"/>
      <c r="M34" s="71"/>
      <c r="N34" s="12"/>
      <c r="O34" s="12"/>
      <c r="P34" s="12"/>
      <c r="Q34" s="12"/>
      <c r="R34" s="12"/>
      <c r="S34" s="12"/>
      <c r="T34" s="90"/>
    </row>
    <row r="35" spans="1:20">
      <c r="A35" s="91"/>
      <c r="B35" s="12"/>
      <c r="C35" s="69"/>
      <c r="D35" s="69"/>
      <c r="E35" s="69"/>
      <c r="F35" s="69"/>
      <c r="G35" s="69"/>
      <c r="H35" s="70"/>
      <c r="I35" s="69"/>
      <c r="J35" s="69"/>
      <c r="K35" s="69"/>
      <c r="L35" s="18"/>
      <c r="M35" s="71"/>
      <c r="N35" s="12"/>
      <c r="O35" s="12"/>
      <c r="P35" s="12"/>
      <c r="Q35" s="12"/>
      <c r="R35" s="12"/>
      <c r="S35" s="12"/>
      <c r="T35" s="90"/>
    </row>
    <row r="36" spans="1:20">
      <c r="A36" s="91"/>
      <c r="B36" s="12"/>
      <c r="C36" s="69"/>
      <c r="D36" s="69"/>
      <c r="E36" s="69"/>
      <c r="F36" s="69"/>
      <c r="G36" s="69"/>
      <c r="H36" s="70"/>
      <c r="I36" s="69"/>
      <c r="J36" s="69"/>
      <c r="K36" s="69"/>
      <c r="L36" s="18"/>
      <c r="M36" s="71"/>
      <c r="N36" s="12"/>
      <c r="O36" s="12"/>
      <c r="P36" s="12"/>
      <c r="Q36" s="12"/>
      <c r="R36" s="12"/>
      <c r="S36" s="12"/>
      <c r="T36" s="90"/>
    </row>
    <row r="37" spans="1:20">
      <c r="A37" s="91"/>
      <c r="B37" s="12"/>
      <c r="C37" s="69"/>
      <c r="D37" s="69"/>
      <c r="E37" s="69"/>
      <c r="F37" s="69"/>
      <c r="G37" s="69"/>
      <c r="H37" s="70"/>
      <c r="I37" s="69"/>
      <c r="J37" s="69"/>
      <c r="K37" s="69"/>
      <c r="L37" s="18"/>
      <c r="M37" s="71"/>
      <c r="N37" s="12"/>
      <c r="O37" s="12"/>
      <c r="P37" s="12"/>
      <c r="Q37" s="12"/>
      <c r="R37" s="12"/>
      <c r="S37" s="12"/>
      <c r="T37" s="90"/>
    </row>
    <row r="38" spans="1:20">
      <c r="A38" s="91"/>
      <c r="B38" s="12"/>
      <c r="C38" s="69"/>
      <c r="D38" s="69"/>
      <c r="E38" s="69"/>
      <c r="F38" s="69"/>
      <c r="G38" s="69"/>
      <c r="H38" s="70"/>
      <c r="I38" s="69"/>
      <c r="J38" s="69"/>
      <c r="K38" s="69"/>
      <c r="L38" s="18"/>
      <c r="M38" s="71"/>
      <c r="N38" s="12"/>
      <c r="O38" s="12"/>
      <c r="P38" s="12"/>
      <c r="Q38" s="12"/>
      <c r="R38" s="12"/>
      <c r="S38" s="12"/>
      <c r="T38" s="90"/>
    </row>
    <row r="39" spans="1:20">
      <c r="A39" s="91"/>
      <c r="B39" s="12"/>
      <c r="C39" s="69"/>
      <c r="D39" s="69"/>
      <c r="E39" s="69"/>
      <c r="F39" s="69"/>
      <c r="G39" s="69"/>
      <c r="H39" s="70"/>
      <c r="I39" s="69"/>
      <c r="J39" s="69"/>
      <c r="K39" s="69"/>
      <c r="L39" s="18"/>
      <c r="M39" s="71"/>
      <c r="N39" s="12"/>
      <c r="O39" s="12"/>
      <c r="P39" s="12"/>
      <c r="Q39" s="12"/>
      <c r="R39" s="12"/>
      <c r="S39" s="12"/>
      <c r="T39" s="90"/>
    </row>
    <row r="40" spans="1:20">
      <c r="A40" s="95"/>
      <c r="B40" s="96"/>
      <c r="C40" s="97"/>
      <c r="D40" s="97"/>
      <c r="E40" s="97"/>
      <c r="F40" s="97"/>
      <c r="G40" s="97"/>
      <c r="H40" s="98"/>
      <c r="I40" s="97"/>
      <c r="J40" s="97"/>
      <c r="K40" s="97"/>
      <c r="L40" s="99"/>
      <c r="M40" s="100"/>
      <c r="N40" s="96"/>
      <c r="O40" s="96"/>
      <c r="P40" s="96"/>
      <c r="Q40" s="96"/>
      <c r="R40" s="96"/>
      <c r="S40" s="96"/>
      <c r="T40" s="101"/>
    </row>
  </sheetData>
  <mergeCells count="6">
    <mergeCell ref="B29:C29"/>
    <mergeCell ref="E29:G30"/>
    <mergeCell ref="B30:C30"/>
    <mergeCell ref="B32:C32"/>
    <mergeCell ref="E32:G33"/>
    <mergeCell ref="B33:C33"/>
  </mergeCells>
  <phoneticPr fontId="0" type="noConversion"/>
  <pageMargins left="0.7" right="0.7" top="0.75" bottom="0.75" header="0.3" footer="0.3"/>
  <pageSetup paperSize="9" orientation="portrait" r:id="rId1"/>
  <headerFooter alignWithMargins="0"/>
  <legacyDrawing r:id="rId2"/>
  <oleObjects>
    <oleObject progId="Equation.3" shapeId="6145" r:id="rId3"/>
    <oleObject progId="Equation.3" shapeId="6146" r:id="rId4"/>
    <oleObject progId="Equation.3" shapeId="6147" r:id="rId5"/>
    <oleObject progId="Equation.3" shapeId="6148" r:id="rId6"/>
  </oleObjects>
</worksheet>
</file>

<file path=xl/worksheets/sheet11.xml><?xml version="1.0" encoding="utf-8"?>
<worksheet xmlns="http://schemas.openxmlformats.org/spreadsheetml/2006/main" xmlns:r="http://schemas.openxmlformats.org/officeDocument/2006/relationships">
  <dimension ref="A1:H22"/>
  <sheetViews>
    <sheetView workbookViewId="0">
      <selection activeCell="H7" sqref="H7"/>
    </sheetView>
  </sheetViews>
  <sheetFormatPr defaultColWidth="8.85546875" defaultRowHeight="12.75"/>
  <cols>
    <col min="1" max="6" width="8.85546875" style="289" customWidth="1"/>
    <col min="7" max="7" width="18.7109375" style="289" customWidth="1"/>
    <col min="8" max="16384" width="8.85546875" style="289"/>
  </cols>
  <sheetData>
    <row r="1" spans="1:8" ht="14.25">
      <c r="A1" s="252" t="s">
        <v>328</v>
      </c>
      <c r="B1" s="252"/>
      <c r="C1" s="252"/>
      <c r="D1" s="252"/>
      <c r="E1" s="252"/>
      <c r="F1" s="252"/>
    </row>
    <row r="3" spans="1:8" ht="74.25" customHeight="1">
      <c r="B3" s="482" t="s">
        <v>301</v>
      </c>
      <c r="C3" s="482"/>
      <c r="D3" s="482"/>
      <c r="E3" s="482"/>
      <c r="F3" s="482"/>
      <c r="G3" s="482"/>
    </row>
    <row r="4" spans="1:8" ht="27" customHeight="1">
      <c r="B4" s="483" t="s">
        <v>302</v>
      </c>
      <c r="C4" s="483"/>
      <c r="D4" s="483"/>
      <c r="E4" s="483"/>
      <c r="F4" s="483"/>
      <c r="G4" s="483"/>
    </row>
    <row r="5" spans="1:8" ht="18.75" thickBot="1">
      <c r="B5" s="302"/>
    </row>
    <row r="6" spans="1:8" ht="33.75" thickBot="1">
      <c r="B6" s="314" t="s">
        <v>303</v>
      </c>
      <c r="C6" s="315" t="s">
        <v>304</v>
      </c>
      <c r="D6" s="315" t="s">
        <v>305</v>
      </c>
      <c r="E6" s="315" t="s">
        <v>306</v>
      </c>
      <c r="F6" s="315" t="s">
        <v>307</v>
      </c>
      <c r="G6" s="316" t="s">
        <v>308</v>
      </c>
      <c r="H6" s="316" t="s">
        <v>309</v>
      </c>
    </row>
    <row r="7" spans="1:8" ht="15" thickBot="1">
      <c r="B7" s="303">
        <v>0.3</v>
      </c>
      <c r="C7" s="304">
        <v>20000</v>
      </c>
      <c r="D7" s="304">
        <v>25000</v>
      </c>
      <c r="E7" s="304">
        <v>6500</v>
      </c>
      <c r="F7" s="304">
        <v>10000</v>
      </c>
      <c r="G7" s="305">
        <v>0.6</v>
      </c>
      <c r="H7" s="305" t="s">
        <v>310</v>
      </c>
    </row>
    <row r="8" spans="1:8" ht="14.25">
      <c r="B8" s="309"/>
      <c r="C8" s="310"/>
      <c r="D8" s="310"/>
      <c r="E8" s="310"/>
      <c r="F8" s="310"/>
      <c r="G8" s="309"/>
      <c r="H8" s="309"/>
    </row>
    <row r="9" spans="1:8" ht="18">
      <c r="B9" s="302" t="s">
        <v>326</v>
      </c>
    </row>
    <row r="10" spans="1:8" ht="18">
      <c r="B10" s="302"/>
    </row>
    <row r="11" spans="1:8" ht="14.25">
      <c r="B11" s="484" t="s">
        <v>311</v>
      </c>
      <c r="C11" s="485"/>
      <c r="D11" s="485"/>
      <c r="E11" s="485"/>
      <c r="F11" s="485"/>
      <c r="G11" s="486"/>
    </row>
    <row r="12" spans="1:8" ht="15">
      <c r="B12" s="479" t="s">
        <v>312</v>
      </c>
      <c r="C12" s="480"/>
      <c r="D12" s="480"/>
      <c r="E12" s="480"/>
      <c r="F12" s="480"/>
      <c r="G12" s="481"/>
    </row>
    <row r="13" spans="1:8" ht="15">
      <c r="B13" s="479" t="s">
        <v>313</v>
      </c>
      <c r="C13" s="480"/>
      <c r="D13" s="480"/>
      <c r="E13" s="480"/>
      <c r="F13" s="480"/>
      <c r="G13" s="481"/>
    </row>
    <row r="14" spans="1:8" ht="15">
      <c r="B14" s="479" t="s">
        <v>314</v>
      </c>
      <c r="C14" s="480"/>
      <c r="D14" s="480"/>
      <c r="E14" s="480"/>
      <c r="F14" s="480"/>
      <c r="G14" s="481"/>
    </row>
    <row r="15" spans="1:8" ht="15">
      <c r="B15" s="479" t="s">
        <v>315</v>
      </c>
      <c r="C15" s="480"/>
      <c r="D15" s="480"/>
      <c r="E15" s="480"/>
      <c r="F15" s="480"/>
      <c r="G15" s="481"/>
    </row>
    <row r="16" spans="1:8" ht="14.25">
      <c r="B16" s="488" t="s">
        <v>316</v>
      </c>
      <c r="C16" s="489"/>
      <c r="D16" s="489"/>
      <c r="E16" s="489"/>
      <c r="F16" s="489"/>
      <c r="G16" s="490"/>
    </row>
    <row r="17" spans="2:7" ht="14.25">
      <c r="B17" s="488" t="s">
        <v>317</v>
      </c>
      <c r="C17" s="489"/>
      <c r="D17" s="489"/>
      <c r="E17" s="489"/>
      <c r="F17" s="489"/>
      <c r="G17" s="490"/>
    </row>
    <row r="18" spans="2:7" ht="15">
      <c r="B18" s="311"/>
      <c r="C18" s="312"/>
      <c r="D18" s="312"/>
      <c r="E18" s="312"/>
      <c r="F18" s="312"/>
      <c r="G18" s="313"/>
    </row>
    <row r="19" spans="2:7" ht="40.5" customHeight="1">
      <c r="B19" s="491" t="s">
        <v>318</v>
      </c>
      <c r="C19" s="491"/>
      <c r="D19" s="491"/>
      <c r="E19" s="491"/>
      <c r="F19" s="491"/>
      <c r="G19" s="491"/>
    </row>
    <row r="20" spans="2:7" ht="27.75" customHeight="1">
      <c r="B20" s="487" t="s">
        <v>319</v>
      </c>
      <c r="C20" s="487"/>
      <c r="D20" s="487"/>
      <c r="E20" s="487"/>
      <c r="F20" s="487"/>
      <c r="G20" s="487"/>
    </row>
    <row r="21" spans="2:7" ht="25.5" customHeight="1">
      <c r="B21" s="487" t="s">
        <v>327</v>
      </c>
      <c r="C21" s="487"/>
      <c r="D21" s="487"/>
      <c r="E21" s="487"/>
      <c r="F21" s="487"/>
      <c r="G21" s="487"/>
    </row>
    <row r="22" spans="2:7" ht="24" customHeight="1">
      <c r="B22" s="487" t="s">
        <v>320</v>
      </c>
      <c r="C22" s="487"/>
      <c r="D22" s="487"/>
      <c r="E22" s="487"/>
      <c r="F22" s="487"/>
      <c r="G22" s="487"/>
    </row>
  </sheetData>
  <mergeCells count="13">
    <mergeCell ref="B19:G19"/>
    <mergeCell ref="B20:G20"/>
    <mergeCell ref="B21:G21"/>
    <mergeCell ref="B13:G13"/>
    <mergeCell ref="B3:G3"/>
    <mergeCell ref="B4:G4"/>
    <mergeCell ref="B11:G11"/>
    <mergeCell ref="B12:G12"/>
    <mergeCell ref="B22:G22"/>
    <mergeCell ref="B14:G14"/>
    <mergeCell ref="B15:G15"/>
    <mergeCell ref="B16:G16"/>
    <mergeCell ref="B17:G17"/>
  </mergeCells>
  <phoneticPr fontId="2"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dimension ref="A1:L28"/>
  <sheetViews>
    <sheetView workbookViewId="0">
      <selection activeCell="K32" sqref="K32"/>
    </sheetView>
  </sheetViews>
  <sheetFormatPr defaultColWidth="8.85546875" defaultRowHeight="12.75"/>
  <cols>
    <col min="1" max="3" width="8.85546875" style="289" customWidth="1"/>
    <col min="4" max="4" width="9.140625" style="306" customWidth="1"/>
    <col min="5" max="5" width="6.42578125" style="289" customWidth="1"/>
    <col min="6" max="6" width="9.140625" style="289" customWidth="1"/>
    <col min="7" max="9" width="8.85546875" style="289" customWidth="1"/>
    <col min="10" max="10" width="19.42578125" style="289" customWidth="1"/>
    <col min="11" max="16384" width="8.85546875" style="289"/>
  </cols>
  <sheetData>
    <row r="1" spans="1:12" ht="14.25">
      <c r="A1" s="252" t="s">
        <v>329</v>
      </c>
      <c r="B1" s="252"/>
      <c r="F1" s="318"/>
      <c r="G1" s="318"/>
      <c r="H1" s="318"/>
      <c r="I1" s="318"/>
      <c r="J1" s="318"/>
      <c r="K1" s="319"/>
      <c r="L1" s="319"/>
    </row>
    <row r="3" spans="1:12" ht="15">
      <c r="A3" s="286" t="s">
        <v>287</v>
      </c>
      <c r="B3"/>
      <c r="C3"/>
      <c r="D3"/>
      <c r="E3"/>
    </row>
    <row r="4" spans="1:12" ht="15">
      <c r="A4" s="75"/>
      <c r="B4"/>
      <c r="C4"/>
      <c r="D4"/>
      <c r="E4"/>
    </row>
    <row r="5" spans="1:12" ht="15">
      <c r="A5"/>
      <c r="B5"/>
      <c r="C5"/>
      <c r="D5" s="4"/>
      <c r="E5" s="75" t="s">
        <v>288</v>
      </c>
    </row>
    <row r="8" spans="1:12">
      <c r="D8" s="424" t="s">
        <v>321</v>
      </c>
      <c r="E8" s="493" t="s">
        <v>330</v>
      </c>
      <c r="F8" s="494"/>
      <c r="G8" s="494"/>
      <c r="H8" s="495"/>
    </row>
    <row r="11" spans="1:12" ht="15">
      <c r="E11" s="307"/>
    </row>
    <row r="12" spans="1:12" ht="15">
      <c r="E12" s="307"/>
    </row>
    <row r="13" spans="1:12">
      <c r="D13" s="308" t="s">
        <v>13</v>
      </c>
      <c r="E13" s="320">
        <v>3.8</v>
      </c>
      <c r="F13" s="496" t="s">
        <v>322</v>
      </c>
      <c r="G13" s="496"/>
      <c r="H13" s="496"/>
      <c r="I13" s="496"/>
      <c r="J13" s="496"/>
    </row>
    <row r="14" spans="1:12" ht="14.25" customHeight="1">
      <c r="D14" s="308" t="s">
        <v>13</v>
      </c>
      <c r="E14" s="320">
        <v>1.7</v>
      </c>
      <c r="F14" s="496" t="s">
        <v>323</v>
      </c>
      <c r="G14" s="496"/>
      <c r="H14" s="496"/>
      <c r="I14" s="496"/>
      <c r="J14" s="496"/>
    </row>
    <row r="15" spans="1:12" ht="14.25" customHeight="1">
      <c r="D15" s="321" t="s">
        <v>20</v>
      </c>
      <c r="E15" s="322">
        <v>15</v>
      </c>
      <c r="F15" s="497" t="s">
        <v>324</v>
      </c>
      <c r="G15" s="497"/>
      <c r="H15" s="497"/>
      <c r="I15" s="497"/>
      <c r="J15" s="497"/>
    </row>
    <row r="16" spans="1:12">
      <c r="D16" s="325"/>
      <c r="E16" s="326"/>
      <c r="F16" s="327"/>
      <c r="G16" s="327"/>
      <c r="H16" s="327"/>
      <c r="I16" s="327"/>
      <c r="J16" s="327"/>
    </row>
    <row r="17" spans="4:10">
      <c r="D17" s="323" t="s">
        <v>13</v>
      </c>
      <c r="E17" s="324">
        <f>0.49*POWER(E13,0.89)+0.65*POWER(E14,0.19)-0.17*POWER(E15,0.8)</f>
        <v>0.84302683739136408</v>
      </c>
      <c r="F17" s="492" t="s">
        <v>427</v>
      </c>
      <c r="G17" s="492"/>
      <c r="H17" s="492"/>
      <c r="I17" s="492"/>
      <c r="J17" s="492"/>
    </row>
    <row r="20" spans="4:10">
      <c r="D20" s="424" t="s">
        <v>325</v>
      </c>
      <c r="E20" s="498" t="s">
        <v>331</v>
      </c>
      <c r="F20" s="498"/>
      <c r="G20" s="498"/>
      <c r="H20" s="498"/>
    </row>
    <row r="24" spans="4:10">
      <c r="D24" s="308" t="s">
        <v>13</v>
      </c>
      <c r="E24" s="320">
        <v>3.8</v>
      </c>
      <c r="F24" s="496" t="s">
        <v>322</v>
      </c>
      <c r="G24" s="496"/>
      <c r="H24" s="496"/>
      <c r="I24" s="496"/>
      <c r="J24" s="496"/>
    </row>
    <row r="25" spans="4:10">
      <c r="D25" s="308" t="s">
        <v>13</v>
      </c>
      <c r="E25" s="320">
        <v>1.7</v>
      </c>
      <c r="F25" s="496" t="s">
        <v>323</v>
      </c>
      <c r="G25" s="496"/>
      <c r="H25" s="496"/>
      <c r="I25" s="496"/>
      <c r="J25" s="496"/>
    </row>
    <row r="26" spans="4:10">
      <c r="D26" s="321" t="s">
        <v>20</v>
      </c>
      <c r="E26" s="322">
        <v>15</v>
      </c>
      <c r="F26" s="497" t="s">
        <v>324</v>
      </c>
      <c r="G26" s="497"/>
      <c r="H26" s="497"/>
      <c r="I26" s="497"/>
      <c r="J26" s="497"/>
    </row>
    <row r="27" spans="4:10">
      <c r="D27" s="325"/>
      <c r="E27" s="328"/>
      <c r="F27" s="327"/>
      <c r="G27" s="327"/>
      <c r="H27" s="327"/>
      <c r="I27" s="327"/>
      <c r="J27" s="327"/>
    </row>
    <row r="28" spans="4:10">
      <c r="D28" s="323" t="s">
        <v>13</v>
      </c>
      <c r="E28" s="324">
        <f>0.5*POWER(E24,0.98)+1.22*POWER(E25,0.29)-0.17*POWER(E26,0.77)</f>
        <v>1.9050402012892267</v>
      </c>
      <c r="F28" s="492" t="s">
        <v>427</v>
      </c>
      <c r="G28" s="492"/>
      <c r="H28" s="492"/>
      <c r="I28" s="492"/>
      <c r="J28" s="492"/>
    </row>
  </sheetData>
  <mergeCells count="10">
    <mergeCell ref="F28:J28"/>
    <mergeCell ref="F17:J17"/>
    <mergeCell ref="E8:H8"/>
    <mergeCell ref="F13:J13"/>
    <mergeCell ref="F14:J14"/>
    <mergeCell ref="F15:J15"/>
    <mergeCell ref="E20:H20"/>
    <mergeCell ref="F24:J24"/>
    <mergeCell ref="F25:J25"/>
    <mergeCell ref="F26:J26"/>
  </mergeCells>
  <phoneticPr fontId="2" type="noConversion"/>
  <pageMargins left="0.75" right="0.75" top="1" bottom="1" header="0.5" footer="0.5"/>
  <pageSetup paperSize="9" orientation="portrait" r:id="rId1"/>
  <headerFooter alignWithMargins="0"/>
  <drawing r:id="rId2"/>
  <legacyDrawing r:id="rId3"/>
  <oleObjects>
    <oleObject progId="Equation.3" shapeId="12289" r:id="rId4"/>
    <oleObject progId="Equation.3" shapeId="12290" r:id="rId5"/>
  </oleObjects>
</worksheet>
</file>

<file path=xl/worksheets/sheet13.xml><?xml version="1.0" encoding="utf-8"?>
<worksheet xmlns="http://schemas.openxmlformats.org/spreadsheetml/2006/main" xmlns:r="http://schemas.openxmlformats.org/officeDocument/2006/relationships">
  <dimension ref="A1:J52"/>
  <sheetViews>
    <sheetView zoomScale="85" workbookViewId="0">
      <selection activeCell="G30" sqref="G30"/>
    </sheetView>
  </sheetViews>
  <sheetFormatPr defaultRowHeight="15"/>
  <cols>
    <col min="2" max="2" width="14.5703125" bestFit="1" customWidth="1"/>
    <col min="3" max="3" width="13.7109375" customWidth="1"/>
    <col min="5" max="5" width="3.7109375" customWidth="1"/>
    <col min="6" max="6" width="35.28515625" customWidth="1"/>
    <col min="7" max="7" width="15.5703125" customWidth="1"/>
    <col min="8" max="8" width="21.140625" customWidth="1"/>
    <col min="9" max="9" width="8.5703125" customWidth="1"/>
    <col min="10" max="10" width="9.140625" hidden="1" customWidth="1"/>
    <col min="11" max="11" width="17.5703125" customWidth="1"/>
    <col min="12" max="12" width="12.42578125" bestFit="1" customWidth="1"/>
  </cols>
  <sheetData>
    <row r="1" spans="1:8">
      <c r="A1" s="252" t="s">
        <v>202</v>
      </c>
    </row>
    <row r="3" spans="1:8">
      <c r="A3" s="286" t="s">
        <v>287</v>
      </c>
    </row>
    <row r="4" spans="1:8">
      <c r="A4" s="75"/>
    </row>
    <row r="5" spans="1:8">
      <c r="D5" s="4"/>
      <c r="E5" s="75" t="s">
        <v>288</v>
      </c>
    </row>
    <row r="8" spans="1:8">
      <c r="B8" s="5"/>
      <c r="C8" s="5" t="s">
        <v>19</v>
      </c>
      <c r="D8" s="5" t="s">
        <v>18</v>
      </c>
    </row>
    <row r="9" spans="1:8">
      <c r="B9" s="230" t="s">
        <v>121</v>
      </c>
      <c r="C9" s="425">
        <v>2200</v>
      </c>
      <c r="D9" s="426">
        <f>C9*10</f>
        <v>22000</v>
      </c>
      <c r="G9" s="110" t="s">
        <v>71</v>
      </c>
    </row>
    <row r="10" spans="1:8">
      <c r="B10" s="499" t="s">
        <v>458</v>
      </c>
      <c r="C10" s="499"/>
      <c r="D10" s="499"/>
    </row>
    <row r="11" spans="1:8">
      <c r="B11" s="94"/>
      <c r="C11" s="94"/>
      <c r="D11" s="94"/>
      <c r="E11" s="14"/>
      <c r="F11" t="s">
        <v>120</v>
      </c>
      <c r="G11" s="227">
        <v>22</v>
      </c>
      <c r="H11" t="s">
        <v>416</v>
      </c>
    </row>
    <row r="12" spans="1:8">
      <c r="D12" s="94"/>
      <c r="E12" s="14"/>
      <c r="F12" t="s">
        <v>115</v>
      </c>
      <c r="G12" s="229">
        <f>$G$11*1000</f>
        <v>22000</v>
      </c>
      <c r="H12" s="94"/>
    </row>
    <row r="13" spans="1:8">
      <c r="D13" s="94"/>
      <c r="E13" s="14"/>
      <c r="G13" s="451"/>
      <c r="H13" s="94"/>
    </row>
    <row r="14" spans="1:8">
      <c r="D14" s="94"/>
      <c r="E14" s="14"/>
      <c r="F14" s="94" t="s">
        <v>123</v>
      </c>
      <c r="G14" s="227">
        <v>5000</v>
      </c>
      <c r="H14" s="94" t="s">
        <v>417</v>
      </c>
    </row>
    <row r="15" spans="1:8">
      <c r="B15" t="s">
        <v>113</v>
      </c>
      <c r="D15" s="94"/>
      <c r="E15" s="14"/>
      <c r="F15" s="94"/>
      <c r="H15" s="94"/>
    </row>
    <row r="16" spans="1:8">
      <c r="D16" s="94"/>
      <c r="E16" s="14"/>
      <c r="F16" t="s">
        <v>122</v>
      </c>
      <c r="G16" s="228">
        <f>$G$12+$G$14</f>
        <v>27000</v>
      </c>
      <c r="H16" s="94"/>
    </row>
    <row r="17" spans="2:8">
      <c r="D17" s="94"/>
      <c r="E17" s="14"/>
      <c r="G17" s="94"/>
      <c r="H17" s="94"/>
    </row>
    <row r="18" spans="2:8">
      <c r="D18" s="94"/>
      <c r="E18" s="14"/>
      <c r="F18" t="s">
        <v>117</v>
      </c>
      <c r="G18" s="112">
        <v>0.2</v>
      </c>
      <c r="H18" s="94"/>
    </row>
    <row r="19" spans="2:8">
      <c r="D19" s="94"/>
      <c r="E19" s="14"/>
      <c r="F19" s="94"/>
      <c r="G19" s="94"/>
      <c r="H19" s="94"/>
    </row>
    <row r="20" spans="2:8">
      <c r="B20" t="s">
        <v>114</v>
      </c>
      <c r="D20" s="94"/>
      <c r="E20" s="14"/>
      <c r="F20" t="s">
        <v>118</v>
      </c>
      <c r="G20" s="114">
        <f>(3.14*($G$18*$G$18*$G$18))/32</f>
        <v>7.8500000000000022E-4</v>
      </c>
      <c r="H20" s="94"/>
    </row>
    <row r="21" spans="2:8">
      <c r="D21" s="94"/>
      <c r="E21" s="14"/>
      <c r="F21" s="94"/>
      <c r="G21" s="94"/>
      <c r="H21" s="94"/>
    </row>
    <row r="22" spans="2:8">
      <c r="D22" s="94"/>
      <c r="E22" s="14"/>
      <c r="F22" s="94" t="s">
        <v>424</v>
      </c>
      <c r="G22" s="442">
        <v>2</v>
      </c>
      <c r="H22" s="94"/>
    </row>
    <row r="23" spans="2:8">
      <c r="D23" s="94"/>
      <c r="E23" s="14"/>
      <c r="F23" s="94"/>
      <c r="G23" s="94"/>
      <c r="H23" s="94"/>
    </row>
    <row r="24" spans="2:8">
      <c r="D24" s="94"/>
      <c r="E24" s="14"/>
      <c r="F24" t="s">
        <v>116</v>
      </c>
      <c r="G24" s="111">
        <f>$G$16*$G$18*$G$22</f>
        <v>10800</v>
      </c>
      <c r="H24" s="94"/>
    </row>
    <row r="25" spans="2:8">
      <c r="D25" s="94"/>
      <c r="E25" s="14"/>
      <c r="F25" s="94"/>
      <c r="G25" s="94"/>
      <c r="H25" s="94"/>
    </row>
    <row r="26" spans="2:8">
      <c r="D26" s="94"/>
      <c r="E26" s="14"/>
      <c r="F26" t="s">
        <v>118</v>
      </c>
      <c r="G26" s="114">
        <f>(3.14*$G$18*$G$18*$G$18)/32</f>
        <v>7.8500000000000011E-4</v>
      </c>
      <c r="H26" s="94"/>
    </row>
    <row r="27" spans="2:8">
      <c r="D27" s="94"/>
      <c r="E27" s="14"/>
      <c r="F27" s="94"/>
      <c r="G27" s="94"/>
      <c r="H27" s="94"/>
    </row>
    <row r="28" spans="2:8">
      <c r="D28" s="94"/>
      <c r="E28" s="14"/>
      <c r="F28" t="s">
        <v>443</v>
      </c>
      <c r="G28" s="225">
        <f>$G$24*$G$22*$G$22/8</f>
        <v>5400</v>
      </c>
      <c r="H28" s="94"/>
    </row>
    <row r="29" spans="2:8">
      <c r="D29" s="94"/>
      <c r="E29" s="14"/>
      <c r="F29" s="94"/>
      <c r="G29" s="94"/>
      <c r="H29" s="94"/>
    </row>
    <row r="30" spans="2:8">
      <c r="D30" s="94"/>
      <c r="E30" s="14"/>
      <c r="F30" t="s">
        <v>72</v>
      </c>
      <c r="G30" s="226">
        <v>28</v>
      </c>
      <c r="H30" s="1" t="s">
        <v>423</v>
      </c>
    </row>
    <row r="31" spans="2:8">
      <c r="D31" s="94"/>
      <c r="E31" s="14"/>
      <c r="F31" s="94"/>
      <c r="G31" s="94"/>
      <c r="H31" s="94"/>
    </row>
    <row r="32" spans="2:8">
      <c r="D32" s="94"/>
      <c r="E32" s="14"/>
      <c r="F32" t="s">
        <v>72</v>
      </c>
      <c r="G32" s="116">
        <f>$G$30/1.5</f>
        <v>18.666666666666668</v>
      </c>
      <c r="H32" t="s">
        <v>73</v>
      </c>
    </row>
    <row r="33" spans="2:10">
      <c r="B33" s="102"/>
      <c r="D33" s="94"/>
      <c r="E33" s="14"/>
      <c r="F33" s="94"/>
      <c r="G33" s="94"/>
      <c r="H33" s="94"/>
    </row>
    <row r="34" spans="2:10">
      <c r="C34" s="102"/>
      <c r="E34" s="231"/>
      <c r="F34" s="94" t="s">
        <v>119</v>
      </c>
      <c r="G34" s="115">
        <f>$G$28/($G$26*1000000)</f>
        <v>6.8789808917197446</v>
      </c>
      <c r="H34" s="113" t="str">
        <f>IF(G34&lt;G32,"Verificata","Non verificata!!!")</f>
        <v>Verificata</v>
      </c>
    </row>
    <row r="36" spans="2:10">
      <c r="E36" s="51"/>
      <c r="G36" s="450"/>
      <c r="H36" s="94"/>
    </row>
    <row r="37" spans="2:10">
      <c r="E37" s="51"/>
      <c r="H37" s="113"/>
    </row>
    <row r="40" spans="2:10">
      <c r="G40" s="452" t="s">
        <v>6</v>
      </c>
      <c r="H40" s="453"/>
      <c r="J40" s="1"/>
    </row>
    <row r="41" spans="2:10">
      <c r="F41" t="s">
        <v>422</v>
      </c>
    </row>
    <row r="42" spans="2:10">
      <c r="F42" t="s">
        <v>428</v>
      </c>
    </row>
    <row r="43" spans="2:10">
      <c r="F43" t="s">
        <v>429</v>
      </c>
    </row>
    <row r="44" spans="2:10">
      <c r="F44" t="s">
        <v>430</v>
      </c>
    </row>
    <row r="45" spans="2:10">
      <c r="F45" s="454" t="s">
        <v>431</v>
      </c>
    </row>
    <row r="46" spans="2:10">
      <c r="F46" s="454" t="s">
        <v>432</v>
      </c>
    </row>
    <row r="47" spans="2:10">
      <c r="F47" s="454" t="s">
        <v>433</v>
      </c>
    </row>
    <row r="48" spans="2:10">
      <c r="F48" s="454" t="s">
        <v>434</v>
      </c>
    </row>
    <row r="49" spans="6:6">
      <c r="F49" t="s">
        <v>435</v>
      </c>
    </row>
    <row r="50" spans="6:6">
      <c r="F50" t="s">
        <v>436</v>
      </c>
    </row>
    <row r="52" spans="6:6">
      <c r="F52" t="s">
        <v>437</v>
      </c>
    </row>
  </sheetData>
  <mergeCells count="1">
    <mergeCell ref="B10:D10"/>
  </mergeCells>
  <phoneticPr fontId="2" type="noConversion"/>
  <pageMargins left="0.7" right="0.7" top="0.75" bottom="0.75" header="0.3" footer="0.3"/>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dimension ref="A1:J48"/>
  <sheetViews>
    <sheetView workbookViewId="0">
      <selection activeCell="O59" sqref="O59"/>
    </sheetView>
  </sheetViews>
  <sheetFormatPr defaultRowHeight="15"/>
  <cols>
    <col min="2" max="2" width="44.28515625" customWidth="1"/>
    <col min="4" max="4" width="14.140625" customWidth="1"/>
    <col min="10" max="10" width="9.85546875" customWidth="1"/>
  </cols>
  <sheetData>
    <row r="1" spans="1:8">
      <c r="A1" s="252" t="s">
        <v>351</v>
      </c>
    </row>
    <row r="3" spans="1:8">
      <c r="A3" s="286" t="s">
        <v>287</v>
      </c>
    </row>
    <row r="4" spans="1:8">
      <c r="A4" s="75"/>
    </row>
    <row r="5" spans="1:8">
      <c r="C5" s="4"/>
      <c r="D5" s="75" t="s">
        <v>288</v>
      </c>
    </row>
    <row r="6" spans="1:8">
      <c r="D6" s="75"/>
    </row>
    <row r="8" spans="1:8">
      <c r="A8" s="255" t="s">
        <v>203</v>
      </c>
    </row>
    <row r="10" spans="1:8">
      <c r="E10" s="234" t="s">
        <v>142</v>
      </c>
    </row>
    <row r="11" spans="1:8">
      <c r="B11" s="233" t="s">
        <v>212</v>
      </c>
      <c r="C11" s="411" t="s">
        <v>126</v>
      </c>
      <c r="D11" s="365">
        <v>2</v>
      </c>
      <c r="E11" s="234" t="s">
        <v>13</v>
      </c>
      <c r="G11" s="236">
        <v>15</v>
      </c>
      <c r="H11" s="236" t="s">
        <v>20</v>
      </c>
    </row>
    <row r="12" spans="1:8">
      <c r="B12" s="233" t="s">
        <v>213</v>
      </c>
      <c r="C12" s="411" t="s">
        <v>214</v>
      </c>
      <c r="D12" s="365">
        <v>1.5</v>
      </c>
      <c r="E12" s="234" t="s">
        <v>178</v>
      </c>
      <c r="G12" s="236">
        <f>RADIANS($D$13)</f>
        <v>0.26179938779914941</v>
      </c>
      <c r="H12" s="236" t="s">
        <v>187</v>
      </c>
    </row>
    <row r="13" spans="1:8">
      <c r="B13" s="233" t="s">
        <v>189</v>
      </c>
      <c r="C13" s="363" t="s">
        <v>190</v>
      </c>
      <c r="D13" s="365">
        <v>15</v>
      </c>
      <c r="E13" s="234" t="s">
        <v>20</v>
      </c>
      <c r="G13" s="236">
        <f>TAN($G$12)</f>
        <v>0.2679491924311227</v>
      </c>
      <c r="H13" s="236" t="s">
        <v>219</v>
      </c>
    </row>
    <row r="14" spans="1:8" ht="18">
      <c r="B14" s="233" t="s">
        <v>215</v>
      </c>
      <c r="C14" s="428" t="s">
        <v>216</v>
      </c>
      <c r="D14" s="429">
        <v>18000</v>
      </c>
      <c r="E14" s="234" t="s">
        <v>418</v>
      </c>
    </row>
    <row r="15" spans="1:8">
      <c r="B15" s="233" t="s">
        <v>223</v>
      </c>
      <c r="C15" s="360" t="s">
        <v>141</v>
      </c>
      <c r="D15" s="365">
        <v>0.14000000000000001</v>
      </c>
      <c r="E15" s="234" t="s">
        <v>13</v>
      </c>
    </row>
    <row r="16" spans="1:8">
      <c r="B16" s="233" t="s">
        <v>227</v>
      </c>
      <c r="C16" s="360" t="s">
        <v>226</v>
      </c>
      <c r="D16" s="365">
        <v>0.14000000000000001</v>
      </c>
      <c r="E16" s="234" t="s">
        <v>13</v>
      </c>
    </row>
    <row r="20" spans="1:5">
      <c r="B20" s="447"/>
      <c r="C20" s="447"/>
      <c r="D20" s="448"/>
      <c r="E20" s="443" t="s">
        <v>143</v>
      </c>
    </row>
    <row r="21" spans="1:5" s="256" customFormat="1" ht="19.5" customHeight="1">
      <c r="B21" s="444" t="s">
        <v>218</v>
      </c>
      <c r="C21" s="445" t="s">
        <v>217</v>
      </c>
      <c r="D21" s="446">
        <f>($D$11*$D$12)*$D$14/(2*($D$11+$D$12)*$G$13)</f>
        <v>28790.106229817055</v>
      </c>
      <c r="E21" s="258" t="s">
        <v>419</v>
      </c>
    </row>
    <row r="22" spans="1:5" ht="17.25">
      <c r="B22" s="235" t="s">
        <v>220</v>
      </c>
      <c r="C22" s="366" t="s">
        <v>221</v>
      </c>
      <c r="D22" s="367">
        <f>2*$D$21*$D$15</f>
        <v>8061.229744348776</v>
      </c>
      <c r="E22" s="258" t="s">
        <v>419</v>
      </c>
    </row>
    <row r="23" spans="1:5">
      <c r="B23" s="235" t="s">
        <v>228</v>
      </c>
      <c r="C23" s="367" t="s">
        <v>229</v>
      </c>
      <c r="D23" s="367">
        <f>$D$11+$D$16</f>
        <v>2.14</v>
      </c>
      <c r="E23" s="403" t="s">
        <v>13</v>
      </c>
    </row>
    <row r="24" spans="1:5" ht="18">
      <c r="B24" s="235" t="s">
        <v>224</v>
      </c>
      <c r="C24" s="366" t="s">
        <v>225</v>
      </c>
      <c r="D24" s="367">
        <f>($D$22*$D$23*$D$23*4)/(3.14*$D$15^3)</f>
        <v>17138589.690636963</v>
      </c>
      <c r="E24" s="236" t="s">
        <v>419</v>
      </c>
    </row>
    <row r="25" spans="1:5" ht="18">
      <c r="C25" s="366" t="s">
        <v>225</v>
      </c>
      <c r="D25" s="367">
        <f>D24/1000000</f>
        <v>17.138589690636962</v>
      </c>
      <c r="E25" s="236" t="s">
        <v>280</v>
      </c>
    </row>
    <row r="27" spans="1:5">
      <c r="B27" s="430" t="s">
        <v>281</v>
      </c>
      <c r="C27" s="430"/>
      <c r="D27" s="430"/>
      <c r="E27" s="430"/>
    </row>
    <row r="29" spans="1:5">
      <c r="A29" s="255" t="s">
        <v>204</v>
      </c>
    </row>
    <row r="32" spans="1:5">
      <c r="E32" s="234" t="s">
        <v>142</v>
      </c>
    </row>
    <row r="33" spans="2:10">
      <c r="B33" s="233" t="s">
        <v>230</v>
      </c>
      <c r="C33" s="359" t="s">
        <v>231</v>
      </c>
      <c r="D33" s="365">
        <v>2</v>
      </c>
      <c r="E33" s="234" t="s">
        <v>13</v>
      </c>
    </row>
    <row r="34" spans="2:10">
      <c r="B34" s="233" t="s">
        <v>223</v>
      </c>
      <c r="C34" s="359" t="s">
        <v>141</v>
      </c>
      <c r="D34" s="365">
        <v>0.14000000000000001</v>
      </c>
      <c r="E34" s="234" t="s">
        <v>13</v>
      </c>
    </row>
    <row r="35" spans="2:10">
      <c r="B35" s="233" t="s">
        <v>227</v>
      </c>
      <c r="C35" s="359" t="s">
        <v>226</v>
      </c>
      <c r="D35" s="365">
        <v>0.14000000000000001</v>
      </c>
      <c r="E35" s="234" t="s">
        <v>13</v>
      </c>
    </row>
    <row r="38" spans="2:10">
      <c r="B38" s="237"/>
      <c r="C38" s="237"/>
      <c r="D38" s="238"/>
      <c r="E38" s="236" t="s">
        <v>143</v>
      </c>
    </row>
    <row r="39" spans="2:10" ht="18">
      <c r="B39" s="235" t="s">
        <v>218</v>
      </c>
      <c r="C39" s="366" t="s">
        <v>217</v>
      </c>
      <c r="D39" s="367">
        <f>$D$21</f>
        <v>28790.106229817055</v>
      </c>
      <c r="E39" s="236" t="s">
        <v>419</v>
      </c>
      <c r="G39" t="s">
        <v>205</v>
      </c>
    </row>
    <row r="40" spans="2:10">
      <c r="B40" s="257" t="s">
        <v>233</v>
      </c>
      <c r="C40" s="431" t="s">
        <v>18</v>
      </c>
      <c r="D40" s="432">
        <f>$D$39*(2*$D$34+2*$D$35)*$D$33</f>
        <v>32244.918977395104</v>
      </c>
      <c r="E40" s="258" t="s">
        <v>232</v>
      </c>
    </row>
    <row r="41" spans="2:10">
      <c r="B41" s="257" t="s">
        <v>234</v>
      </c>
      <c r="C41" s="366" t="s">
        <v>18</v>
      </c>
      <c r="D41" s="367">
        <f>$D$39*($D$34+$D$35)*$D$33</f>
        <v>16122.459488697552</v>
      </c>
      <c r="E41" s="258" t="s">
        <v>18</v>
      </c>
    </row>
    <row r="42" spans="2:10" ht="17.25">
      <c r="B42" s="257" t="s">
        <v>238</v>
      </c>
      <c r="C42" s="366" t="s">
        <v>239</v>
      </c>
      <c r="D42" s="367">
        <f>3.14*$D$34*$D$34/2</f>
        <v>3.0772000000000008E-2</v>
      </c>
      <c r="E42" s="258" t="s">
        <v>420</v>
      </c>
      <c r="G42" t="s">
        <v>206</v>
      </c>
    </row>
    <row r="43" spans="2:10" ht="18">
      <c r="B43" s="235" t="s">
        <v>235</v>
      </c>
      <c r="C43" s="366" t="s">
        <v>237</v>
      </c>
      <c r="D43" s="367">
        <f>$D$40/$D$42</f>
        <v>1047865.5588650428</v>
      </c>
      <c r="E43" s="236" t="s">
        <v>222</v>
      </c>
    </row>
    <row r="44" spans="2:10" ht="18">
      <c r="B44" s="235"/>
      <c r="C44" s="366" t="s">
        <v>237</v>
      </c>
      <c r="D44" s="367">
        <f>D43/1000000</f>
        <v>1.0478655588650427</v>
      </c>
      <c r="E44" s="236" t="s">
        <v>280</v>
      </c>
    </row>
    <row r="45" spans="2:10" ht="18">
      <c r="B45" s="235" t="s">
        <v>236</v>
      </c>
      <c r="C45" s="366" t="s">
        <v>237</v>
      </c>
      <c r="D45" s="367">
        <f>$D$41/$D$42</f>
        <v>523932.77943252138</v>
      </c>
      <c r="E45" s="236" t="s">
        <v>419</v>
      </c>
    </row>
    <row r="46" spans="2:10" ht="18">
      <c r="B46" s="235"/>
      <c r="C46" s="366" t="s">
        <v>237</v>
      </c>
      <c r="D46" s="367">
        <f>D45/1000000</f>
        <v>0.52393277943252137</v>
      </c>
      <c r="E46" s="236" t="s">
        <v>280</v>
      </c>
    </row>
    <row r="48" spans="2:10">
      <c r="F48" s="500" t="s">
        <v>281</v>
      </c>
      <c r="G48" s="500"/>
      <c r="H48" s="500"/>
      <c r="I48" s="500"/>
      <c r="J48" s="500"/>
    </row>
  </sheetData>
  <mergeCells count="1">
    <mergeCell ref="F48:J48"/>
  </mergeCells>
  <phoneticPr fontId="2"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dimension ref="A1:K27"/>
  <sheetViews>
    <sheetView workbookViewId="0">
      <selection activeCell="K14" sqref="K14"/>
    </sheetView>
  </sheetViews>
  <sheetFormatPr defaultRowHeight="15"/>
  <cols>
    <col min="2" max="2" width="3.5703125" customWidth="1"/>
    <col min="3" max="3" width="27.85546875" bestFit="1" customWidth="1"/>
  </cols>
  <sheetData>
    <row r="1" spans="1:9">
      <c r="A1" s="252" t="s">
        <v>207</v>
      </c>
    </row>
    <row r="2" spans="1:9">
      <c r="A2" s="340"/>
    </row>
    <row r="3" spans="1:9">
      <c r="A3" s="286" t="s">
        <v>287</v>
      </c>
    </row>
    <row r="4" spans="1:9">
      <c r="A4" s="75"/>
    </row>
    <row r="5" spans="1:9">
      <c r="D5" s="4"/>
      <c r="E5" s="75" t="s">
        <v>288</v>
      </c>
    </row>
    <row r="6" spans="1:9">
      <c r="A6" s="340"/>
    </row>
    <row r="8" spans="1:9">
      <c r="D8" s="110" t="s">
        <v>71</v>
      </c>
      <c r="G8" s="5"/>
      <c r="H8" s="5" t="s">
        <v>19</v>
      </c>
      <c r="I8" s="5" t="s">
        <v>18</v>
      </c>
    </row>
    <row r="9" spans="1:9">
      <c r="G9" s="230" t="s">
        <v>121</v>
      </c>
      <c r="H9" s="425">
        <v>2200</v>
      </c>
      <c r="I9" s="426">
        <f>H9*10</f>
        <v>22000</v>
      </c>
    </row>
    <row r="10" spans="1:9">
      <c r="B10" s="14"/>
      <c r="C10" t="s">
        <v>120</v>
      </c>
      <c r="D10" s="227">
        <v>22</v>
      </c>
      <c r="E10" t="s">
        <v>416</v>
      </c>
      <c r="G10" s="499" t="s">
        <v>458</v>
      </c>
      <c r="H10" s="499"/>
      <c r="I10" s="499"/>
    </row>
    <row r="11" spans="1:9">
      <c r="B11" s="14"/>
      <c r="C11" t="s">
        <v>115</v>
      </c>
      <c r="D11" s="229">
        <f>$D$10*1000</f>
        <v>22000</v>
      </c>
    </row>
    <row r="12" spans="1:9">
      <c r="B12" s="14"/>
    </row>
    <row r="13" spans="1:9">
      <c r="B13" s="14"/>
      <c r="C13" s="94" t="s">
        <v>123</v>
      </c>
      <c r="D13" s="227">
        <v>5000</v>
      </c>
      <c r="E13" s="94" t="s">
        <v>417</v>
      </c>
    </row>
    <row r="14" spans="1:9">
      <c r="B14" s="14"/>
      <c r="C14" s="94"/>
    </row>
    <row r="15" spans="1:9">
      <c r="B15" s="14"/>
      <c r="C15" t="s">
        <v>122</v>
      </c>
      <c r="D15" s="228">
        <f>$D$11+$D$13</f>
        <v>27000</v>
      </c>
    </row>
    <row r="16" spans="1:9">
      <c r="B16" s="14"/>
      <c r="D16" s="94"/>
    </row>
    <row r="17" spans="2:11">
      <c r="B17" s="14"/>
      <c r="C17" t="s">
        <v>117</v>
      </c>
      <c r="D17" s="112">
        <v>0.14000000000000001</v>
      </c>
    </row>
    <row r="18" spans="2:11">
      <c r="B18" s="14"/>
    </row>
    <row r="19" spans="2:11">
      <c r="B19" s="14"/>
      <c r="C19" s="94" t="s">
        <v>425</v>
      </c>
      <c r="D19" s="442">
        <v>2</v>
      </c>
    </row>
    <row r="20" spans="2:11">
      <c r="B20" s="14"/>
    </row>
    <row r="21" spans="2:11">
      <c r="B21" s="14"/>
      <c r="C21" t="s">
        <v>116</v>
      </c>
      <c r="D21" s="111">
        <f>$D$15*$D$17*$D$19</f>
        <v>7560.0000000000009</v>
      </c>
    </row>
    <row r="22" spans="2:11">
      <c r="B22" s="14"/>
    </row>
    <row r="23" spans="2:11">
      <c r="B23" s="14"/>
      <c r="C23" t="s">
        <v>72</v>
      </c>
      <c r="D23" s="226">
        <v>2</v>
      </c>
      <c r="E23" s="1" t="s">
        <v>74</v>
      </c>
    </row>
    <row r="24" spans="2:11">
      <c r="B24" s="14"/>
      <c r="C24" s="94"/>
      <c r="D24" s="94"/>
    </row>
    <row r="25" spans="2:11">
      <c r="B25" s="14"/>
      <c r="C25" t="s">
        <v>72</v>
      </c>
      <c r="D25" s="116">
        <f>$D$23/1.5</f>
        <v>1.3333333333333333</v>
      </c>
      <c r="E25" t="s">
        <v>73</v>
      </c>
    </row>
    <row r="26" spans="2:11">
      <c r="B26" s="14"/>
      <c r="C26" s="94"/>
      <c r="D26" s="94"/>
    </row>
    <row r="27" spans="2:11">
      <c r="B27" s="231"/>
      <c r="C27" s="94" t="s">
        <v>119</v>
      </c>
      <c r="D27" s="115">
        <f>4/3*$D$21/(0.5*3.14/4*$D$17*$D$17*1000000)</f>
        <v>1.3102820746132844</v>
      </c>
      <c r="E27" s="249" t="str">
        <f>IF(D27&lt;D25,"Verificata","Non verificata!!!")</f>
        <v>Verificata</v>
      </c>
      <c r="J27" s="94"/>
      <c r="K27" s="94"/>
    </row>
  </sheetData>
  <mergeCells count="1">
    <mergeCell ref="G10:I10"/>
  </mergeCells>
  <phoneticPr fontId="2" type="noConversion"/>
  <pageMargins left="0.7" right="0.7" top="0.75" bottom="0.75" header="0.3" footer="0.3"/>
  <headerFooter alignWithMargins="0"/>
  <drawing r:id="rId1"/>
</worksheet>
</file>

<file path=xl/worksheets/sheet16.xml><?xml version="1.0" encoding="utf-8"?>
<worksheet xmlns="http://schemas.openxmlformats.org/spreadsheetml/2006/main" xmlns:r="http://schemas.openxmlformats.org/officeDocument/2006/relationships">
  <dimension ref="A1:J31"/>
  <sheetViews>
    <sheetView topLeftCell="A25" workbookViewId="0">
      <selection activeCell="G35" sqref="G35"/>
    </sheetView>
  </sheetViews>
  <sheetFormatPr defaultRowHeight="15"/>
  <cols>
    <col min="2" max="2" width="46.42578125" customWidth="1"/>
  </cols>
  <sheetData>
    <row r="1" spans="1:8">
      <c r="A1" s="252" t="s">
        <v>352</v>
      </c>
    </row>
    <row r="3" spans="1:8">
      <c r="B3" s="286" t="s">
        <v>287</v>
      </c>
    </row>
    <row r="4" spans="1:8">
      <c r="B4" s="75"/>
    </row>
    <row r="5" spans="1:8">
      <c r="C5" s="4"/>
      <c r="D5" s="75" t="s">
        <v>288</v>
      </c>
    </row>
    <row r="6" spans="1:8">
      <c r="D6" s="75"/>
    </row>
    <row r="8" spans="1:8">
      <c r="A8" s="255" t="s">
        <v>208</v>
      </c>
    </row>
    <row r="11" spans="1:8">
      <c r="E11" s="234" t="s">
        <v>142</v>
      </c>
    </row>
    <row r="12" spans="1:8">
      <c r="B12" s="233" t="s">
        <v>240</v>
      </c>
      <c r="C12" s="428" t="s">
        <v>127</v>
      </c>
      <c r="D12" s="406">
        <v>2</v>
      </c>
      <c r="E12" s="248" t="s">
        <v>13</v>
      </c>
    </row>
    <row r="13" spans="1:8">
      <c r="B13" s="233" t="s">
        <v>223</v>
      </c>
      <c r="C13" s="400" t="s">
        <v>141</v>
      </c>
      <c r="D13" s="429">
        <v>0.14000000000000001</v>
      </c>
      <c r="E13" s="248" t="s">
        <v>13</v>
      </c>
    </row>
    <row r="14" spans="1:8">
      <c r="B14" s="233" t="s">
        <v>227</v>
      </c>
      <c r="C14" s="400" t="s">
        <v>226</v>
      </c>
      <c r="D14" s="429">
        <v>0.14000000000000001</v>
      </c>
      <c r="E14" s="248" t="s">
        <v>13</v>
      </c>
    </row>
    <row r="15" spans="1:8">
      <c r="B15" s="233" t="s">
        <v>189</v>
      </c>
      <c r="C15" s="400" t="s">
        <v>190</v>
      </c>
      <c r="D15" s="406">
        <v>15</v>
      </c>
      <c r="E15" s="248" t="s">
        <v>20</v>
      </c>
      <c r="G15" s="236">
        <v>15</v>
      </c>
      <c r="H15" s="236" t="s">
        <v>20</v>
      </c>
    </row>
    <row r="16" spans="1:8">
      <c r="G16" s="236">
        <f>RADIANS($G$15)</f>
        <v>0.26179938779914941</v>
      </c>
      <c r="H16" s="236" t="s">
        <v>187</v>
      </c>
    </row>
    <row r="17" spans="2:10">
      <c r="G17" s="236">
        <f>TAN($G$16)</f>
        <v>0.2679491924311227</v>
      </c>
      <c r="H17" s="236" t="s">
        <v>219</v>
      </c>
    </row>
    <row r="19" spans="2:10">
      <c r="B19" s="237"/>
      <c r="C19" s="237"/>
      <c r="D19" s="427"/>
      <c r="E19" s="236" t="s">
        <v>143</v>
      </c>
    </row>
    <row r="20" spans="2:10" ht="18">
      <c r="B20" s="235" t="s">
        <v>218</v>
      </c>
      <c r="C20" s="433" t="s">
        <v>217</v>
      </c>
      <c r="D20" s="367">
        <f ca="1">'verifica flessione(2)'!D21</f>
        <v>28790.106229817055</v>
      </c>
      <c r="E20" s="239" t="s">
        <v>419</v>
      </c>
      <c r="F20" s="268" t="s">
        <v>279</v>
      </c>
    </row>
    <row r="21" spans="2:10" ht="18">
      <c r="B21" s="257" t="s">
        <v>241</v>
      </c>
      <c r="C21" s="431" t="s">
        <v>242</v>
      </c>
      <c r="D21" s="432">
        <f>$D$20*$G$17</f>
        <v>7714.2857142857147</v>
      </c>
      <c r="E21" s="258" t="s">
        <v>419</v>
      </c>
    </row>
    <row r="22" spans="2:10">
      <c r="B22" s="235" t="s">
        <v>243</v>
      </c>
      <c r="C22" s="366" t="s">
        <v>245</v>
      </c>
      <c r="D22" s="367">
        <f>2*$D$21*(2*$D$13+2*$D$14)*$D$12/2</f>
        <v>8640.0000000000018</v>
      </c>
      <c r="E22" s="258" t="s">
        <v>232</v>
      </c>
    </row>
    <row r="23" spans="2:10">
      <c r="B23" s="235" t="s">
        <v>244</v>
      </c>
      <c r="C23" s="367" t="s">
        <v>245</v>
      </c>
      <c r="D23" s="367">
        <f>2*$D$21*($D$13+$D$14)*$D$12/2</f>
        <v>4320.0000000000009</v>
      </c>
      <c r="E23" s="258" t="s">
        <v>18</v>
      </c>
      <c r="J23" t="s">
        <v>210</v>
      </c>
    </row>
    <row r="24" spans="2:10" ht="17.25">
      <c r="B24" s="235" t="s">
        <v>246</v>
      </c>
      <c r="C24" s="367" t="s">
        <v>239</v>
      </c>
      <c r="D24" s="367">
        <f>3.14*$D$14*$D$14/2</f>
        <v>3.0772000000000008E-2</v>
      </c>
      <c r="E24" s="258" t="s">
        <v>420</v>
      </c>
    </row>
    <row r="25" spans="2:10" ht="18">
      <c r="B25" s="235" t="s">
        <v>247</v>
      </c>
      <c r="C25" s="404" t="s">
        <v>421</v>
      </c>
      <c r="D25" s="366">
        <f>4/3*$D$22/$D$24</f>
        <v>374366.30703236704</v>
      </c>
      <c r="E25" s="236" t="s">
        <v>419</v>
      </c>
    </row>
    <row r="26" spans="2:10" ht="18">
      <c r="B26" s="235"/>
      <c r="C26" s="404" t="s">
        <v>421</v>
      </c>
      <c r="D26" s="367">
        <f>D25/1000000</f>
        <v>0.37436630703236706</v>
      </c>
      <c r="E26" s="236" t="s">
        <v>280</v>
      </c>
    </row>
    <row r="27" spans="2:10" ht="18">
      <c r="B27" s="235" t="s">
        <v>248</v>
      </c>
      <c r="C27" s="404" t="s">
        <v>421</v>
      </c>
      <c r="D27" s="366">
        <f>4/3*$D$23/$D$24</f>
        <v>187183.15351618352</v>
      </c>
      <c r="E27" s="236" t="s">
        <v>419</v>
      </c>
      <c r="J27" t="s">
        <v>211</v>
      </c>
    </row>
    <row r="28" spans="2:10" ht="18">
      <c r="B28" s="235"/>
      <c r="C28" s="404" t="s">
        <v>421</v>
      </c>
      <c r="D28" s="367">
        <f>D27/1000000</f>
        <v>0.18718315351618353</v>
      </c>
      <c r="E28" s="236" t="s">
        <v>280</v>
      </c>
    </row>
    <row r="30" spans="2:10">
      <c r="J30" t="s">
        <v>209</v>
      </c>
    </row>
    <row r="31" spans="2:10">
      <c r="B31" s="501" t="s">
        <v>281</v>
      </c>
      <c r="C31" s="501"/>
      <c r="D31" s="501"/>
      <c r="E31" s="501"/>
    </row>
  </sheetData>
  <mergeCells count="1">
    <mergeCell ref="B31:E31"/>
  </mergeCells>
  <phoneticPr fontId="2"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dimension ref="A1:AD34"/>
  <sheetViews>
    <sheetView topLeftCell="A7" workbookViewId="0">
      <selection activeCell="C23" sqref="C23"/>
    </sheetView>
  </sheetViews>
  <sheetFormatPr defaultRowHeight="15"/>
  <cols>
    <col min="1" max="1" width="2.7109375" customWidth="1"/>
    <col min="2" max="2" width="6.28515625" customWidth="1"/>
    <col min="3" max="3" width="106.140625" customWidth="1"/>
    <col min="7" max="7" width="11.28515625" bestFit="1" customWidth="1"/>
    <col min="8" max="8" width="14.140625" bestFit="1" customWidth="1"/>
  </cols>
  <sheetData>
    <row r="1" spans="1:30">
      <c r="C1" s="340" t="s">
        <v>4</v>
      </c>
    </row>
    <row r="3" spans="1:30">
      <c r="A3" s="286" t="s">
        <v>287</v>
      </c>
    </row>
    <row r="4" spans="1:30">
      <c r="A4" s="75"/>
    </row>
    <row r="5" spans="1:30">
      <c r="B5" s="4"/>
      <c r="C5" s="75" t="s">
        <v>288</v>
      </c>
    </row>
    <row r="8" spans="1:30" ht="15.75">
      <c r="C8" s="351" t="s">
        <v>38</v>
      </c>
    </row>
    <row r="10" spans="1:30" ht="29.25">
      <c r="C10" s="348" t="s">
        <v>11</v>
      </c>
      <c r="Y10" s="502"/>
      <c r="Z10" s="502"/>
      <c r="AA10" s="502"/>
      <c r="AB10" s="502"/>
      <c r="AC10" s="502"/>
      <c r="AD10" s="502"/>
    </row>
    <row r="11" spans="1:30" ht="19.149999999999999" customHeight="1">
      <c r="C11" s="3"/>
    </row>
    <row r="12" spans="1:30" ht="8.25" customHeight="1"/>
    <row r="13" spans="1:30">
      <c r="C13" s="3" t="s">
        <v>12</v>
      </c>
    </row>
    <row r="14" spans="1:30">
      <c r="C14" s="3" t="s">
        <v>440</v>
      </c>
      <c r="D14" s="365">
        <v>2</v>
      </c>
      <c r="E14" s="5" t="s">
        <v>13</v>
      </c>
    </row>
    <row r="15" spans="1:30">
      <c r="C15" s="3" t="s">
        <v>439</v>
      </c>
      <c r="D15" s="365">
        <v>0.15</v>
      </c>
      <c r="E15" s="5" t="s">
        <v>13</v>
      </c>
    </row>
    <row r="16" spans="1:30" ht="21.75">
      <c r="C16" s="3" t="s">
        <v>14</v>
      </c>
      <c r="D16" s="406">
        <v>17000</v>
      </c>
      <c r="E16" s="5" t="s">
        <v>15</v>
      </c>
    </row>
    <row r="17" spans="3:30">
      <c r="C17" s="3" t="s">
        <v>449</v>
      </c>
      <c r="D17" s="434">
        <f>F17*100</f>
        <v>7000</v>
      </c>
      <c r="E17" s="5" t="s">
        <v>16</v>
      </c>
      <c r="F17" s="365">
        <v>70</v>
      </c>
      <c r="G17" s="5" t="s">
        <v>17</v>
      </c>
    </row>
    <row r="18" spans="3:30">
      <c r="C18" s="3" t="s">
        <v>438</v>
      </c>
      <c r="D18" s="434">
        <f>F18*10</f>
        <v>2203.1999999999998</v>
      </c>
      <c r="E18" s="5" t="s">
        <v>18</v>
      </c>
      <c r="F18" s="437">
        <f>+H26</f>
        <v>220.32</v>
      </c>
      <c r="G18" s="5" t="s">
        <v>348</v>
      </c>
    </row>
    <row r="19" spans="3:30">
      <c r="C19" s="7" t="s">
        <v>442</v>
      </c>
      <c r="D19" s="406">
        <v>30</v>
      </c>
      <c r="E19" s="5" t="s">
        <v>20</v>
      </c>
    </row>
    <row r="20" spans="3:30">
      <c r="C20" s="3" t="s">
        <v>21</v>
      </c>
      <c r="D20" s="435">
        <f>TAN(D19*(3.141592654/180))</f>
        <v>0.57735026928078281</v>
      </c>
      <c r="E20" s="5" t="s">
        <v>9</v>
      </c>
      <c r="F20" t="s">
        <v>9</v>
      </c>
      <c r="G20" t="s">
        <v>9</v>
      </c>
    </row>
    <row r="21" spans="3:30">
      <c r="C21" s="3" t="s">
        <v>22</v>
      </c>
      <c r="D21" s="365">
        <v>0.33300000000000002</v>
      </c>
      <c r="E21" s="5" t="s">
        <v>23</v>
      </c>
      <c r="H21" s="5" t="s">
        <v>24</v>
      </c>
      <c r="I21" s="5" t="s">
        <v>25</v>
      </c>
    </row>
    <row r="22" spans="3:30">
      <c r="C22" s="3" t="s">
        <v>441</v>
      </c>
      <c r="D22" s="436">
        <f>D18/ ((3.14*D15)*((D16*D14*D21*D20)+D17))</f>
        <v>0.34555588583782926</v>
      </c>
      <c r="E22" s="5" t="s">
        <v>13</v>
      </c>
      <c r="H22" s="5" t="s">
        <v>26</v>
      </c>
      <c r="I22" s="5" t="s">
        <v>27</v>
      </c>
    </row>
    <row r="23" spans="3:30">
      <c r="D23" t="s">
        <v>9</v>
      </c>
      <c r="H23" s="5" t="s">
        <v>28</v>
      </c>
      <c r="I23" s="5" t="s">
        <v>29</v>
      </c>
    </row>
    <row r="24" spans="3:30">
      <c r="C24" s="3" t="s">
        <v>30</v>
      </c>
    </row>
    <row r="25" spans="3:30">
      <c r="C25" s="8" t="s">
        <v>31</v>
      </c>
      <c r="D25" s="449" t="s">
        <v>32</v>
      </c>
      <c r="E25" s="449" t="s">
        <v>33</v>
      </c>
      <c r="F25" s="449" t="s">
        <v>34</v>
      </c>
      <c r="G25" s="8" t="s">
        <v>35</v>
      </c>
      <c r="H25" s="8" t="s">
        <v>36</v>
      </c>
      <c r="AA25" s="502"/>
      <c r="AB25" s="502"/>
      <c r="AC25" s="502"/>
      <c r="AD25" s="502"/>
    </row>
    <row r="26" spans="3:30">
      <c r="C26" s="8" t="s">
        <v>37</v>
      </c>
      <c r="D26" s="349">
        <v>0.6</v>
      </c>
      <c r="E26" s="349">
        <v>0.6</v>
      </c>
      <c r="F26" s="350">
        <f>+E26*D26</f>
        <v>0.36</v>
      </c>
      <c r="G26" s="349">
        <v>1700</v>
      </c>
      <c r="H26" s="350">
        <f>D26*E26*F26*G26</f>
        <v>220.32</v>
      </c>
    </row>
    <row r="34" spans="15:19">
      <c r="O34" s="502" t="s">
        <v>39</v>
      </c>
      <c r="P34" s="502"/>
      <c r="Q34" s="502"/>
      <c r="R34" s="502"/>
      <c r="S34" s="502"/>
    </row>
  </sheetData>
  <mergeCells count="3">
    <mergeCell ref="Y10:AD10"/>
    <mergeCell ref="AA25:AD25"/>
    <mergeCell ref="O34:S34"/>
  </mergeCells>
  <phoneticPr fontId="2" type="noConversion"/>
  <pageMargins left="0.7" right="0.7" top="0.75" bottom="0.75" header="0.3" footer="0.3"/>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dimension ref="A1:U36"/>
  <sheetViews>
    <sheetView zoomScale="85" workbookViewId="0">
      <selection activeCell="O47" sqref="O47"/>
    </sheetView>
  </sheetViews>
  <sheetFormatPr defaultRowHeight="15"/>
  <cols>
    <col min="1" max="1" width="11.28515625" customWidth="1"/>
    <col min="3" max="3" width="21.85546875" bestFit="1" customWidth="1"/>
    <col min="10" max="10" width="9.28515625" bestFit="1" customWidth="1"/>
    <col min="11" max="11" width="9.7109375" bestFit="1" customWidth="1"/>
    <col min="13" max="13" width="9.7109375" bestFit="1" customWidth="1"/>
  </cols>
  <sheetData>
    <row r="1" spans="1:21">
      <c r="C1" s="252" t="s">
        <v>5</v>
      </c>
    </row>
    <row r="3" spans="1:21">
      <c r="A3" s="286" t="s">
        <v>287</v>
      </c>
    </row>
    <row r="4" spans="1:21">
      <c r="A4" s="75"/>
    </row>
    <row r="5" spans="1:21">
      <c r="B5" s="4"/>
      <c r="C5" s="75" t="s">
        <v>288</v>
      </c>
      <c r="F5" s="185"/>
      <c r="G5" s="185"/>
      <c r="H5" s="185"/>
      <c r="I5" s="185"/>
      <c r="J5" s="185"/>
      <c r="K5" s="185"/>
      <c r="L5" s="185"/>
      <c r="M5" s="185"/>
      <c r="N5" s="185"/>
    </row>
    <row r="6" spans="1:21" ht="15.75" thickBot="1"/>
    <row r="7" spans="1:21" ht="20.25">
      <c r="A7" s="117"/>
      <c r="B7" s="118"/>
      <c r="C7" s="9"/>
      <c r="D7" s="10"/>
      <c r="E7" s="10"/>
      <c r="F7" s="503" t="s">
        <v>75</v>
      </c>
      <c r="G7" s="503"/>
      <c r="H7" s="503"/>
      <c r="I7" s="503"/>
      <c r="J7" s="503"/>
      <c r="K7" s="503"/>
      <c r="L7" s="10"/>
      <c r="M7" s="10"/>
      <c r="N7" s="504"/>
      <c r="O7" s="505"/>
      <c r="P7" s="506"/>
      <c r="Q7" s="118"/>
      <c r="R7" s="118"/>
      <c r="S7" s="118"/>
      <c r="T7" s="118"/>
      <c r="U7" s="119"/>
    </row>
    <row r="8" spans="1:21" ht="15.75" thickBot="1">
      <c r="A8" s="11"/>
      <c r="B8" s="12"/>
      <c r="C8" s="13"/>
      <c r="D8" s="14"/>
      <c r="E8" s="14"/>
      <c r="F8" s="14"/>
      <c r="G8" s="14"/>
      <c r="H8" s="14"/>
      <c r="I8" s="14"/>
      <c r="J8" s="14"/>
      <c r="K8" s="14"/>
      <c r="L8" s="14"/>
      <c r="M8" s="14"/>
      <c r="N8" s="507"/>
      <c r="O8" s="507"/>
      <c r="P8" s="508"/>
      <c r="Q8" s="12"/>
      <c r="R8" s="12"/>
      <c r="S8" s="12"/>
      <c r="T8" s="12"/>
      <c r="U8" s="15"/>
    </row>
    <row r="9" spans="1:21" ht="51.75" thickBot="1">
      <c r="A9" s="11"/>
      <c r="B9" s="12"/>
      <c r="C9" s="13"/>
      <c r="D9" s="120" t="s">
        <v>76</v>
      </c>
      <c r="E9" s="121" t="s">
        <v>77</v>
      </c>
      <c r="F9" s="122" t="s">
        <v>78</v>
      </c>
      <c r="G9" s="121" t="s">
        <v>79</v>
      </c>
      <c r="H9" s="123" t="s">
        <v>80</v>
      </c>
      <c r="I9" s="124" t="s">
        <v>81</v>
      </c>
      <c r="J9" s="125" t="s">
        <v>82</v>
      </c>
      <c r="K9" s="126" t="s">
        <v>83</v>
      </c>
      <c r="L9" s="127" t="s">
        <v>84</v>
      </c>
      <c r="M9" s="14"/>
      <c r="N9" s="507"/>
      <c r="O9" s="507"/>
      <c r="P9" s="508"/>
      <c r="Q9" s="12"/>
      <c r="R9" s="12"/>
      <c r="S9" s="12"/>
      <c r="T9" s="12"/>
      <c r="U9" s="15"/>
    </row>
    <row r="10" spans="1:21" ht="15.75" thickBot="1">
      <c r="A10" s="11"/>
      <c r="B10" s="12"/>
      <c r="C10" s="13"/>
      <c r="D10" s="333">
        <v>12</v>
      </c>
      <c r="E10" s="334">
        <v>4</v>
      </c>
      <c r="F10" s="335">
        <v>2</v>
      </c>
      <c r="G10" s="334">
        <v>2</v>
      </c>
      <c r="H10" s="438">
        <v>1</v>
      </c>
      <c r="I10" s="128">
        <f t="shared" ref="I10:I15" si="0">(H10+1)*($D$10/$E$10)*2</f>
        <v>12</v>
      </c>
      <c r="J10" s="129">
        <f>ROUND(($D$10/$G$10)+1,0)</f>
        <v>7</v>
      </c>
      <c r="K10" s="130">
        <f t="shared" ref="K10:K15" si="1">ROUND($F$10*J10+$E$10*I10,0)</f>
        <v>62</v>
      </c>
      <c r="L10" s="131">
        <f t="shared" ref="L10:L15" si="2">J10*2*2</f>
        <v>28</v>
      </c>
      <c r="M10" s="14"/>
      <c r="N10" s="507"/>
      <c r="O10" s="507"/>
      <c r="P10" s="508"/>
      <c r="Q10" s="12"/>
      <c r="R10" s="12"/>
      <c r="S10" s="12"/>
      <c r="T10" s="12"/>
      <c r="U10" s="15"/>
    </row>
    <row r="11" spans="1:21" ht="15.75" thickBot="1">
      <c r="A11" s="11"/>
      <c r="B11" s="12"/>
      <c r="C11" s="13"/>
      <c r="D11" s="14"/>
      <c r="E11" s="14"/>
      <c r="F11" s="14"/>
      <c r="G11" s="14"/>
      <c r="H11" s="439">
        <v>2</v>
      </c>
      <c r="I11" s="128">
        <f t="shared" si="0"/>
        <v>18</v>
      </c>
      <c r="J11" s="132">
        <f>ROUND(($D$10/$G$10)+2+J10,0)</f>
        <v>15</v>
      </c>
      <c r="K11" s="130">
        <f t="shared" si="1"/>
        <v>102</v>
      </c>
      <c r="L11" s="133">
        <f t="shared" si="2"/>
        <v>60</v>
      </c>
      <c r="M11" s="14"/>
      <c r="N11" s="507"/>
      <c r="O11" s="507"/>
      <c r="P11" s="508"/>
      <c r="Q11" s="12"/>
      <c r="R11" s="12"/>
      <c r="S11" s="12"/>
      <c r="T11" s="12"/>
      <c r="U11" s="15"/>
    </row>
    <row r="12" spans="1:21" ht="15.75" thickBot="1">
      <c r="A12" s="11"/>
      <c r="B12" s="12"/>
      <c r="C12" s="13"/>
      <c r="D12" s="14"/>
      <c r="E12" s="14"/>
      <c r="F12" s="14"/>
      <c r="G12" s="14"/>
      <c r="H12" s="439">
        <v>3</v>
      </c>
      <c r="I12" s="128">
        <f t="shared" si="0"/>
        <v>24</v>
      </c>
      <c r="J12" s="132">
        <f>ROUND(($D$10/$G$10)+1+J11,0)</f>
        <v>22</v>
      </c>
      <c r="K12" s="130">
        <f t="shared" si="1"/>
        <v>140</v>
      </c>
      <c r="L12" s="133">
        <f t="shared" si="2"/>
        <v>88</v>
      </c>
      <c r="M12" s="14"/>
      <c r="N12" s="507"/>
      <c r="O12" s="507"/>
      <c r="P12" s="508"/>
      <c r="Q12" s="12"/>
      <c r="R12" s="12"/>
      <c r="S12" s="12"/>
      <c r="T12" s="12"/>
      <c r="U12" s="15"/>
    </row>
    <row r="13" spans="1:21" ht="15.75" thickBot="1">
      <c r="A13" s="11"/>
      <c r="B13" s="12"/>
      <c r="C13" s="13"/>
      <c r="D13" s="14"/>
      <c r="E13" s="14"/>
      <c r="F13" s="14"/>
      <c r="G13" s="14"/>
      <c r="H13" s="439">
        <v>4</v>
      </c>
      <c r="I13" s="128">
        <f t="shared" si="0"/>
        <v>30</v>
      </c>
      <c r="J13" s="132">
        <f>ROUND(($D$10/$G$10)+2+J12,0)</f>
        <v>30</v>
      </c>
      <c r="K13" s="130">
        <f t="shared" si="1"/>
        <v>180</v>
      </c>
      <c r="L13" s="133">
        <f t="shared" si="2"/>
        <v>120</v>
      </c>
      <c r="M13" s="14"/>
      <c r="N13" s="507"/>
      <c r="O13" s="507"/>
      <c r="P13" s="508"/>
      <c r="Q13" s="12"/>
      <c r="R13" s="12"/>
      <c r="S13" s="12"/>
      <c r="T13" s="12"/>
      <c r="U13" s="15"/>
    </row>
    <row r="14" spans="1:21" ht="15.75" thickBot="1">
      <c r="A14" s="11"/>
      <c r="B14" s="12"/>
      <c r="C14" s="13"/>
      <c r="D14" s="14"/>
      <c r="E14" s="14"/>
      <c r="F14" s="14"/>
      <c r="G14" s="14"/>
      <c r="H14" s="439">
        <v>5</v>
      </c>
      <c r="I14" s="128">
        <f t="shared" si="0"/>
        <v>36</v>
      </c>
      <c r="J14" s="132">
        <f>ROUND(($D$10/$G$10)+1+J13,0)</f>
        <v>37</v>
      </c>
      <c r="K14" s="130">
        <f t="shared" si="1"/>
        <v>218</v>
      </c>
      <c r="L14" s="133">
        <f t="shared" si="2"/>
        <v>148</v>
      </c>
      <c r="M14" s="14"/>
      <c r="N14" s="507"/>
      <c r="O14" s="507"/>
      <c r="P14" s="508"/>
      <c r="Q14" s="12"/>
      <c r="R14" s="12"/>
      <c r="S14" s="12"/>
      <c r="T14" s="12"/>
      <c r="U14" s="15"/>
    </row>
    <row r="15" spans="1:21" ht="15.75" thickBot="1">
      <c r="A15" s="11"/>
      <c r="B15" s="12"/>
      <c r="C15" s="13"/>
      <c r="D15" s="14"/>
      <c r="E15" s="14"/>
      <c r="F15" s="14"/>
      <c r="G15" s="14"/>
      <c r="H15" s="440">
        <v>6</v>
      </c>
      <c r="I15" s="128">
        <f t="shared" si="0"/>
        <v>42</v>
      </c>
      <c r="J15" s="134">
        <f>ROUND(($D$10/$G$10)+2+J14,0)</f>
        <v>45</v>
      </c>
      <c r="K15" s="130">
        <f t="shared" si="1"/>
        <v>258</v>
      </c>
      <c r="L15" s="135">
        <f t="shared" si="2"/>
        <v>180</v>
      </c>
      <c r="M15" s="14"/>
      <c r="N15" s="507"/>
      <c r="O15" s="507"/>
      <c r="P15" s="508"/>
      <c r="Q15" s="12"/>
      <c r="R15" s="12"/>
      <c r="S15" s="12"/>
      <c r="T15" s="12"/>
      <c r="U15" s="15"/>
    </row>
    <row r="16" spans="1:21">
      <c r="A16" s="11"/>
      <c r="B16" s="12"/>
      <c r="C16" s="13"/>
      <c r="D16" s="14"/>
      <c r="E16" s="14"/>
      <c r="F16" s="14"/>
      <c r="G16" s="14"/>
      <c r="H16" s="14"/>
      <c r="I16" s="14"/>
      <c r="J16" s="14"/>
      <c r="K16" s="14"/>
      <c r="L16" s="14"/>
      <c r="M16" s="14"/>
      <c r="N16" s="507"/>
      <c r="O16" s="507"/>
      <c r="P16" s="508"/>
      <c r="Q16" s="12"/>
      <c r="R16" s="12"/>
      <c r="S16" s="12"/>
      <c r="T16" s="12"/>
      <c r="U16" s="15"/>
    </row>
    <row r="17" spans="1:21" ht="15.75" thickBot="1">
      <c r="A17" s="11"/>
      <c r="B17" s="12"/>
      <c r="C17" s="136"/>
      <c r="D17" s="137"/>
      <c r="E17" s="137"/>
      <c r="F17" s="137"/>
      <c r="G17" s="137"/>
      <c r="H17" s="137"/>
      <c r="I17" s="137"/>
      <c r="J17" s="137"/>
      <c r="K17" s="137"/>
      <c r="L17" s="137"/>
      <c r="M17" s="137"/>
      <c r="N17" s="509"/>
      <c r="O17" s="509"/>
      <c r="P17" s="510"/>
      <c r="Q17" s="12"/>
      <c r="R17" s="12"/>
      <c r="S17" s="12"/>
      <c r="T17" s="12"/>
      <c r="U17" s="15"/>
    </row>
    <row r="18" spans="1:21" ht="15.75" thickBot="1">
      <c r="A18" s="11"/>
      <c r="B18" s="12"/>
      <c r="C18" s="12"/>
      <c r="D18" s="12"/>
      <c r="E18" s="12"/>
      <c r="F18" s="12"/>
      <c r="G18" s="12"/>
      <c r="H18" s="12"/>
      <c r="I18" s="12"/>
      <c r="J18" s="12"/>
      <c r="K18" s="12"/>
      <c r="L18" s="12"/>
      <c r="M18" s="12"/>
      <c r="N18" s="12"/>
      <c r="O18" s="12"/>
      <c r="P18" s="12"/>
      <c r="Q18" s="12"/>
      <c r="R18" s="12"/>
      <c r="S18" s="12"/>
      <c r="T18" s="12"/>
      <c r="U18" s="15"/>
    </row>
    <row r="19" spans="1:21" ht="20.25">
      <c r="A19" s="11"/>
      <c r="B19" s="12"/>
      <c r="C19" s="9"/>
      <c r="D19" s="10"/>
      <c r="E19" s="10"/>
      <c r="F19" s="10"/>
      <c r="G19" s="503" t="s">
        <v>85</v>
      </c>
      <c r="H19" s="503"/>
      <c r="I19" s="503"/>
      <c r="J19" s="503"/>
      <c r="K19" s="503"/>
      <c r="L19" s="503"/>
      <c r="M19" s="10"/>
      <c r="N19" s="10"/>
      <c r="O19" s="10"/>
      <c r="P19" s="16"/>
      <c r="Q19" s="12"/>
      <c r="R19" s="12"/>
      <c r="S19" s="12"/>
      <c r="T19" s="12"/>
      <c r="U19" s="15"/>
    </row>
    <row r="20" spans="1:21">
      <c r="A20" s="11"/>
      <c r="B20" s="12"/>
      <c r="C20" s="13"/>
      <c r="D20" s="14"/>
      <c r="E20" s="14"/>
      <c r="F20" s="14"/>
      <c r="G20" s="14"/>
      <c r="H20" s="14"/>
      <c r="I20" s="14"/>
      <c r="J20" s="14"/>
      <c r="K20" s="14"/>
      <c r="L20" s="14"/>
      <c r="M20" s="14"/>
      <c r="N20" s="14"/>
      <c r="O20" s="14"/>
      <c r="P20" s="17"/>
      <c r="Q20" s="12"/>
      <c r="R20" s="12"/>
      <c r="S20" s="12"/>
      <c r="T20" s="12"/>
      <c r="U20" s="15"/>
    </row>
    <row r="21" spans="1:21" ht="15.75" thickBot="1">
      <c r="A21" s="11"/>
      <c r="B21" s="12"/>
      <c r="C21" s="13"/>
      <c r="D21" s="14"/>
      <c r="E21" s="14"/>
      <c r="F21" s="14"/>
      <c r="G21" s="14"/>
      <c r="H21" s="14"/>
      <c r="I21" s="14"/>
      <c r="J21" s="14"/>
      <c r="K21" s="14"/>
      <c r="L21" s="14"/>
      <c r="M21" s="14"/>
      <c r="N21" s="14"/>
      <c r="O21" s="14"/>
      <c r="P21" s="17"/>
      <c r="Q21" s="12"/>
      <c r="R21" s="12"/>
      <c r="S21" s="12"/>
      <c r="T21" s="12"/>
      <c r="U21" s="15"/>
    </row>
    <row r="22" spans="1:21" ht="51.75" thickBot="1">
      <c r="A22" s="11"/>
      <c r="B22" s="12"/>
      <c r="C22" s="13"/>
      <c r="D22" s="120" t="s">
        <v>76</v>
      </c>
      <c r="E22" s="138" t="s">
        <v>77</v>
      </c>
      <c r="F22" s="121" t="s">
        <v>78</v>
      </c>
      <c r="G22" s="138" t="s">
        <v>86</v>
      </c>
      <c r="H22" s="121" t="s">
        <v>87</v>
      </c>
      <c r="I22" s="123" t="s">
        <v>80</v>
      </c>
      <c r="J22" s="139" t="s">
        <v>82</v>
      </c>
      <c r="K22" s="140" t="s">
        <v>81</v>
      </c>
      <c r="L22" s="141" t="s">
        <v>88</v>
      </c>
      <c r="M22" s="126" t="s">
        <v>83</v>
      </c>
      <c r="N22" s="127" t="s">
        <v>84</v>
      </c>
      <c r="O22" s="14"/>
      <c r="P22" s="17"/>
      <c r="Q22" s="12"/>
      <c r="R22" s="12"/>
      <c r="S22" s="12"/>
      <c r="T22" s="12"/>
      <c r="U22" s="15"/>
    </row>
    <row r="23" spans="1:21" ht="15.75" thickBot="1">
      <c r="A23" s="11"/>
      <c r="B23" s="12"/>
      <c r="C23" s="13"/>
      <c r="D23" s="336">
        <v>4</v>
      </c>
      <c r="E23" s="337">
        <v>4</v>
      </c>
      <c r="F23" s="338">
        <v>2</v>
      </c>
      <c r="G23" s="338">
        <v>2</v>
      </c>
      <c r="H23" s="337">
        <v>3.5</v>
      </c>
      <c r="I23" s="339">
        <v>3</v>
      </c>
      <c r="J23" s="142">
        <f>($D$23/$G$23+1)*$I$23</f>
        <v>9</v>
      </c>
      <c r="K23" s="143">
        <f>$I$23*$D$23/$E$23+$D$23/$E$23</f>
        <v>4</v>
      </c>
      <c r="L23" s="142">
        <f>$D$23/$G$23+1</f>
        <v>3</v>
      </c>
      <c r="M23" s="144">
        <f>ROUND($K$23*$E$23+$J$23*$F$23+$L$23*$H$23,0)</f>
        <v>45</v>
      </c>
      <c r="N23" s="145">
        <f>ROUND($L$23*($I$23+1)+$J$23*3,0)</f>
        <v>39</v>
      </c>
      <c r="O23" s="14"/>
      <c r="P23" s="17"/>
      <c r="Q23" s="12"/>
      <c r="R23" s="12"/>
      <c r="S23" s="12"/>
      <c r="T23" s="12"/>
      <c r="U23" s="15"/>
    </row>
    <row r="24" spans="1:21">
      <c r="A24" s="11"/>
      <c r="B24" s="12"/>
      <c r="C24" s="13"/>
      <c r="D24" s="14"/>
      <c r="E24" s="14"/>
      <c r="F24" s="14"/>
      <c r="G24" s="14"/>
      <c r="H24" s="14"/>
      <c r="I24" s="14"/>
      <c r="J24" s="14"/>
      <c r="K24" s="14"/>
      <c r="L24" s="14"/>
      <c r="M24" s="14"/>
      <c r="N24" s="14"/>
      <c r="O24" s="14"/>
      <c r="P24" s="17"/>
      <c r="Q24" s="12"/>
      <c r="R24" s="12"/>
      <c r="S24" s="12"/>
      <c r="T24" s="12"/>
      <c r="U24" s="15"/>
    </row>
    <row r="25" spans="1:21">
      <c r="A25" s="11"/>
      <c r="B25" s="12"/>
      <c r="C25" s="13"/>
      <c r="D25" s="14"/>
      <c r="E25" s="14"/>
      <c r="F25" s="14"/>
      <c r="G25" s="14"/>
      <c r="H25" s="14"/>
      <c r="I25" s="14"/>
      <c r="J25" s="14"/>
      <c r="K25" s="14"/>
      <c r="L25" s="14"/>
      <c r="M25" s="14"/>
      <c r="N25" s="14"/>
      <c r="O25" s="14"/>
      <c r="P25" s="17"/>
      <c r="Q25" s="12"/>
      <c r="R25" s="12"/>
      <c r="S25" s="12"/>
      <c r="T25" s="12"/>
      <c r="U25" s="15"/>
    </row>
    <row r="26" spans="1:21" ht="15.75" thickBot="1">
      <c r="A26" s="11"/>
      <c r="B26" s="12"/>
      <c r="C26" s="136"/>
      <c r="D26" s="137"/>
      <c r="E26" s="137"/>
      <c r="F26" s="137"/>
      <c r="G26" s="137"/>
      <c r="H26" s="137"/>
      <c r="I26" s="137"/>
      <c r="J26" s="137"/>
      <c r="K26" s="137"/>
      <c r="L26" s="137"/>
      <c r="M26" s="137"/>
      <c r="N26" s="137"/>
      <c r="O26" s="137"/>
      <c r="P26" s="146"/>
      <c r="Q26" s="12"/>
      <c r="R26" s="12"/>
      <c r="S26" s="12"/>
      <c r="T26" s="12"/>
      <c r="U26" s="15"/>
    </row>
    <row r="27" spans="1:21">
      <c r="A27" s="11"/>
      <c r="B27" s="12"/>
      <c r="C27" s="12"/>
      <c r="D27" s="12"/>
      <c r="E27" s="12"/>
      <c r="F27" s="12"/>
      <c r="G27" s="12"/>
      <c r="H27" s="12"/>
      <c r="I27" s="12"/>
      <c r="J27" s="12"/>
      <c r="K27" s="12"/>
      <c r="L27" s="12"/>
      <c r="M27" s="12"/>
      <c r="N27" s="12"/>
      <c r="O27" s="12"/>
      <c r="P27" s="12"/>
      <c r="Q27" s="12"/>
      <c r="R27" s="12"/>
      <c r="S27" s="12"/>
      <c r="T27" s="12"/>
      <c r="U27" s="15"/>
    </row>
    <row r="28" spans="1:21">
      <c r="A28" s="11"/>
      <c r="B28" s="12"/>
      <c r="C28" s="12"/>
      <c r="D28" s="12"/>
      <c r="E28" s="12"/>
      <c r="F28" s="12"/>
      <c r="G28" s="12"/>
      <c r="H28" s="12"/>
      <c r="I28" s="12"/>
      <c r="J28" s="12"/>
      <c r="K28" s="12"/>
      <c r="L28" s="12"/>
      <c r="M28" s="12"/>
      <c r="N28" s="12"/>
      <c r="O28" s="12"/>
      <c r="P28" s="12"/>
      <c r="Q28" s="12"/>
      <c r="R28" s="12"/>
      <c r="S28" s="12"/>
      <c r="T28" s="12"/>
      <c r="U28" s="15"/>
    </row>
    <row r="29" spans="1:21">
      <c r="A29" s="11"/>
      <c r="B29" s="12"/>
      <c r="C29" s="12"/>
      <c r="D29" s="12"/>
      <c r="E29" s="12"/>
      <c r="F29" s="12"/>
      <c r="G29" s="12"/>
      <c r="H29" s="12"/>
      <c r="I29" s="12"/>
      <c r="J29" s="12"/>
      <c r="K29" s="12"/>
      <c r="L29" s="12"/>
      <c r="M29" s="12"/>
      <c r="N29" s="12"/>
      <c r="O29" s="12"/>
      <c r="P29" s="12"/>
      <c r="Q29" s="12"/>
      <c r="R29" s="12"/>
      <c r="S29" s="12"/>
      <c r="T29" s="12"/>
      <c r="U29" s="15"/>
    </row>
    <row r="30" spans="1:21">
      <c r="A30" s="11"/>
      <c r="B30" s="12"/>
      <c r="C30" s="12"/>
      <c r="D30" s="12"/>
      <c r="E30" s="12"/>
      <c r="F30" s="12"/>
      <c r="G30" s="12"/>
      <c r="H30" s="12"/>
      <c r="I30" s="12"/>
      <c r="J30" s="12"/>
      <c r="K30" s="12"/>
      <c r="L30" s="12"/>
      <c r="M30" s="12"/>
      <c r="N30" s="12"/>
      <c r="O30" s="12"/>
      <c r="P30" s="12"/>
      <c r="Q30" s="12"/>
      <c r="R30" s="12"/>
      <c r="S30" s="12"/>
      <c r="T30" s="12"/>
      <c r="U30" s="15"/>
    </row>
    <row r="31" spans="1:21">
      <c r="A31" s="11"/>
      <c r="B31" s="12"/>
      <c r="C31" s="12"/>
      <c r="D31" s="12"/>
      <c r="E31" s="12"/>
      <c r="F31" s="147"/>
      <c r="G31" s="148"/>
      <c r="H31" s="148"/>
      <c r="I31" s="148"/>
      <c r="J31" s="18"/>
      <c r="K31" s="12"/>
      <c r="L31" s="12"/>
      <c r="M31" s="12"/>
      <c r="N31" s="12"/>
      <c r="O31" s="12"/>
      <c r="P31" s="12"/>
      <c r="Q31" s="12"/>
      <c r="R31" s="12"/>
      <c r="S31" s="12"/>
      <c r="T31" s="12"/>
      <c r="U31" s="15"/>
    </row>
    <row r="32" spans="1:21">
      <c r="A32" s="11"/>
      <c r="B32" s="12"/>
      <c r="C32" s="12"/>
      <c r="D32" s="12"/>
      <c r="E32" s="12"/>
      <c r="F32" s="147"/>
      <c r="G32" s="149"/>
      <c r="H32" s="149"/>
      <c r="I32" s="149"/>
      <c r="J32" s="12"/>
      <c r="K32" s="12"/>
      <c r="L32" s="12"/>
      <c r="M32" s="12"/>
      <c r="N32" s="12"/>
      <c r="O32" s="12"/>
      <c r="P32" s="12"/>
      <c r="Q32" s="12"/>
      <c r="R32" s="12"/>
      <c r="S32" s="12"/>
      <c r="T32" s="12"/>
      <c r="U32" s="15"/>
    </row>
    <row r="33" spans="1:21">
      <c r="A33" s="11"/>
      <c r="B33" s="12"/>
      <c r="C33" s="12"/>
      <c r="D33" s="12"/>
      <c r="E33" s="12"/>
      <c r="F33" s="147"/>
      <c r="G33" s="149"/>
      <c r="H33" s="149"/>
      <c r="I33" s="149"/>
      <c r="J33" s="12"/>
      <c r="K33" s="12"/>
      <c r="L33" s="12"/>
      <c r="M33" s="12"/>
      <c r="N33" s="12"/>
      <c r="O33" s="12"/>
      <c r="P33" s="12"/>
      <c r="Q33" s="12"/>
      <c r="R33" s="12"/>
      <c r="S33" s="12"/>
      <c r="T33" s="12"/>
      <c r="U33" s="15"/>
    </row>
    <row r="34" spans="1:21">
      <c r="A34" s="11"/>
      <c r="B34" s="12"/>
      <c r="C34" s="12"/>
      <c r="D34" s="12"/>
      <c r="E34" s="12"/>
      <c r="F34" s="147"/>
      <c r="G34" s="149"/>
      <c r="H34" s="149"/>
      <c r="I34" s="149"/>
      <c r="J34" s="12"/>
      <c r="K34" s="12"/>
      <c r="L34" s="12"/>
      <c r="M34" s="12"/>
      <c r="N34" s="12"/>
      <c r="O34" s="12"/>
      <c r="P34" s="12"/>
      <c r="Q34" s="12"/>
      <c r="R34" s="12"/>
      <c r="S34" s="12"/>
      <c r="T34" s="12"/>
      <c r="U34" s="15"/>
    </row>
    <row r="35" spans="1:21">
      <c r="A35" s="11"/>
      <c r="B35" s="12"/>
      <c r="C35" s="12"/>
      <c r="D35" s="12"/>
      <c r="E35" s="12"/>
      <c r="F35" s="147"/>
      <c r="G35" s="149"/>
      <c r="H35" s="149"/>
      <c r="I35" s="149"/>
      <c r="J35" s="12"/>
      <c r="K35" s="12"/>
      <c r="L35" s="12"/>
      <c r="M35" s="12"/>
      <c r="N35" s="12"/>
      <c r="O35" s="12"/>
      <c r="P35" s="12"/>
      <c r="Q35" s="12"/>
      <c r="R35" s="12"/>
      <c r="S35" s="12"/>
      <c r="T35" s="12"/>
      <c r="U35" s="15"/>
    </row>
    <row r="36" spans="1:21" ht="15.75" thickBot="1">
      <c r="A36" s="19"/>
      <c r="B36" s="20"/>
      <c r="C36" s="20"/>
      <c r="D36" s="20"/>
      <c r="E36" s="20"/>
      <c r="F36" s="20"/>
      <c r="G36" s="20"/>
      <c r="H36" s="20"/>
      <c r="I36" s="20"/>
      <c r="J36" s="20"/>
      <c r="K36" s="20"/>
      <c r="L36" s="20"/>
      <c r="M36" s="20"/>
      <c r="N36" s="20"/>
      <c r="O36" s="20"/>
      <c r="P36" s="20"/>
      <c r="Q36" s="20"/>
      <c r="R36" s="20"/>
      <c r="S36" s="20"/>
      <c r="T36" s="20"/>
      <c r="U36" s="21"/>
    </row>
  </sheetData>
  <mergeCells count="3">
    <mergeCell ref="F7:K7"/>
    <mergeCell ref="N7:P17"/>
    <mergeCell ref="G19:L19"/>
  </mergeCells>
  <phoneticPr fontId="2" type="noConversion"/>
  <pageMargins left="0.7" right="0.7" top="0.75" bottom="0.75" header="0.3" footer="0.3"/>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dimension ref="A1:AI59"/>
  <sheetViews>
    <sheetView tabSelected="1" topLeftCell="P1" workbookViewId="0">
      <selection activeCell="AE12" sqref="AE12"/>
    </sheetView>
  </sheetViews>
  <sheetFormatPr defaultRowHeight="15"/>
  <cols>
    <col min="2" max="2" width="16.85546875" bestFit="1" customWidth="1"/>
    <col min="19" max="19" width="7.7109375" customWidth="1"/>
    <col min="21" max="21" width="13.5703125" customWidth="1"/>
  </cols>
  <sheetData>
    <row r="1" spans="1:35" ht="18.75" thickBot="1">
      <c r="A1" s="553" t="s">
        <v>102</v>
      </c>
      <c r="B1" s="554"/>
      <c r="C1" s="554"/>
      <c r="D1" s="554"/>
      <c r="E1" s="554"/>
      <c r="F1" s="554"/>
      <c r="G1" s="554"/>
      <c r="H1" s="554"/>
      <c r="I1" s="554"/>
      <c r="J1" s="554"/>
      <c r="K1" s="554"/>
      <c r="L1" s="554"/>
      <c r="M1" s="554"/>
      <c r="N1" s="554"/>
      <c r="O1" s="554"/>
      <c r="P1" s="555"/>
      <c r="S1" s="558" t="s">
        <v>103</v>
      </c>
      <c r="T1" s="532"/>
      <c r="U1" s="532"/>
      <c r="V1" s="532"/>
      <c r="W1" s="532"/>
      <c r="X1" s="532"/>
      <c r="Y1" s="532"/>
      <c r="Z1" s="532"/>
      <c r="AA1" s="532"/>
      <c r="AB1" s="532"/>
      <c r="AC1" s="532"/>
      <c r="AD1" s="532"/>
      <c r="AE1" s="532"/>
      <c r="AF1" s="532"/>
      <c r="AG1" s="532"/>
      <c r="AH1" s="533"/>
    </row>
    <row r="2" spans="1:35" ht="15.75" thickBot="1">
      <c r="S2" s="534"/>
      <c r="T2" s="535"/>
      <c r="U2" s="535"/>
      <c r="V2" s="535"/>
      <c r="W2" s="535"/>
      <c r="X2" s="535"/>
      <c r="Y2" s="535"/>
      <c r="Z2" s="535"/>
      <c r="AA2" s="535"/>
      <c r="AB2" s="535"/>
      <c r="AC2" s="535"/>
      <c r="AD2" s="535"/>
      <c r="AE2" s="535"/>
      <c r="AF2" s="535"/>
      <c r="AG2" s="535"/>
      <c r="AH2" s="536"/>
    </row>
    <row r="3" spans="1:35" ht="18.75" thickBot="1">
      <c r="A3" s="150"/>
      <c r="B3" s="559" t="s">
        <v>89</v>
      </c>
      <c r="C3" s="560"/>
      <c r="D3" s="560"/>
      <c r="E3" s="560"/>
      <c r="F3" s="560"/>
      <c r="G3" s="561"/>
    </row>
    <row r="4" spans="1:35" ht="15.75" thickBot="1">
      <c r="B4" s="151" t="s">
        <v>90</v>
      </c>
      <c r="C4" s="152">
        <v>1</v>
      </c>
      <c r="D4" s="153">
        <v>1</v>
      </c>
      <c r="E4" s="153">
        <v>1</v>
      </c>
      <c r="F4" s="153">
        <v>1</v>
      </c>
      <c r="G4" s="154">
        <v>1</v>
      </c>
    </row>
    <row r="5" spans="1:35">
      <c r="B5" s="155" t="s">
        <v>91</v>
      </c>
      <c r="C5" s="156">
        <v>4</v>
      </c>
      <c r="D5" s="157">
        <v>8</v>
      </c>
      <c r="E5" s="157">
        <v>12</v>
      </c>
      <c r="F5" s="157">
        <v>16</v>
      </c>
      <c r="G5" s="158">
        <v>20</v>
      </c>
      <c r="S5" s="13"/>
      <c r="T5" s="14"/>
      <c r="U5" s="531" t="s">
        <v>104</v>
      </c>
      <c r="V5" s="532"/>
      <c r="W5" s="532"/>
      <c r="X5" s="532"/>
      <c r="Y5" s="532"/>
      <c r="Z5" s="533"/>
      <c r="AA5" s="14"/>
      <c r="AB5" s="14"/>
      <c r="AC5" s="14"/>
      <c r="AD5" s="14"/>
      <c r="AE5" s="14"/>
      <c r="AF5" s="14"/>
      <c r="AG5" s="14"/>
      <c r="AH5" s="14"/>
      <c r="AI5" s="14"/>
    </row>
    <row r="6" spans="1:35" ht="15.75" thickBot="1">
      <c r="B6" s="155" t="s">
        <v>79</v>
      </c>
      <c r="C6" s="156">
        <v>2</v>
      </c>
      <c r="D6" s="157">
        <v>2</v>
      </c>
      <c r="E6" s="157">
        <v>2</v>
      </c>
      <c r="F6" s="157">
        <v>2</v>
      </c>
      <c r="G6" s="158">
        <v>2</v>
      </c>
      <c r="S6" s="13"/>
      <c r="T6" s="14"/>
      <c r="U6" s="534"/>
      <c r="V6" s="535"/>
      <c r="W6" s="535"/>
      <c r="X6" s="535"/>
      <c r="Y6" s="535"/>
      <c r="Z6" s="536"/>
      <c r="AA6" s="14"/>
      <c r="AB6" s="14"/>
      <c r="AC6" s="14"/>
      <c r="AD6" s="14"/>
      <c r="AE6" s="14"/>
      <c r="AF6" s="14"/>
      <c r="AG6" s="14"/>
      <c r="AH6" s="14"/>
      <c r="AI6" s="14"/>
    </row>
    <row r="7" spans="1:35" ht="15.75" thickBot="1">
      <c r="B7" s="155" t="s">
        <v>77</v>
      </c>
      <c r="C7" s="156">
        <v>4</v>
      </c>
      <c r="D7" s="157">
        <v>4</v>
      </c>
      <c r="E7" s="157">
        <v>4</v>
      </c>
      <c r="F7" s="157">
        <v>4</v>
      </c>
      <c r="G7" s="158">
        <v>4</v>
      </c>
      <c r="S7" s="13"/>
      <c r="T7" s="14"/>
      <c r="U7" s="186" t="s">
        <v>93</v>
      </c>
      <c r="V7" s="187">
        <v>1</v>
      </c>
      <c r="W7" s="187">
        <v>1</v>
      </c>
      <c r="X7" s="188">
        <v>1</v>
      </c>
      <c r="Y7" s="189">
        <v>1</v>
      </c>
      <c r="Z7" s="190">
        <v>1</v>
      </c>
      <c r="AA7" s="14"/>
      <c r="AB7" s="14"/>
      <c r="AC7" s="14"/>
      <c r="AD7" s="14"/>
      <c r="AE7" s="14"/>
      <c r="AF7" s="14"/>
      <c r="AG7" s="14"/>
      <c r="AH7" s="14"/>
      <c r="AI7" s="14"/>
    </row>
    <row r="8" spans="1:35" ht="15.75" thickBot="1">
      <c r="B8" s="155" t="s">
        <v>78</v>
      </c>
      <c r="C8" s="156">
        <v>2</v>
      </c>
      <c r="D8" s="157">
        <v>2</v>
      </c>
      <c r="E8" s="157">
        <v>2</v>
      </c>
      <c r="F8" s="157">
        <v>2</v>
      </c>
      <c r="G8" s="158">
        <v>2</v>
      </c>
      <c r="S8" s="13"/>
      <c r="T8" s="14"/>
      <c r="U8" s="191" t="s">
        <v>105</v>
      </c>
      <c r="V8" s="192">
        <v>4</v>
      </c>
      <c r="W8" s="192">
        <v>8</v>
      </c>
      <c r="X8" s="193">
        <v>12</v>
      </c>
      <c r="Y8" s="194">
        <v>16</v>
      </c>
      <c r="Z8" s="195">
        <v>20</v>
      </c>
      <c r="AA8" s="14"/>
      <c r="AB8" s="14"/>
      <c r="AC8" s="14"/>
      <c r="AD8" s="14"/>
      <c r="AE8" s="14"/>
      <c r="AF8" s="14"/>
      <c r="AG8" s="14"/>
      <c r="AH8" s="14"/>
      <c r="AI8" s="14"/>
    </row>
    <row r="9" spans="1:35" ht="15.75" thickBot="1">
      <c r="B9" s="151" t="s">
        <v>90</v>
      </c>
      <c r="C9" s="152">
        <v>2</v>
      </c>
      <c r="D9" s="153">
        <v>2</v>
      </c>
      <c r="E9" s="153">
        <v>2</v>
      </c>
      <c r="F9" s="153">
        <v>2</v>
      </c>
      <c r="G9" s="154">
        <v>2</v>
      </c>
      <c r="S9" s="13"/>
      <c r="T9" s="14"/>
      <c r="U9" s="186" t="s">
        <v>94</v>
      </c>
      <c r="V9" s="187">
        <v>2</v>
      </c>
      <c r="W9" s="187">
        <v>2</v>
      </c>
      <c r="X9" s="188">
        <v>2</v>
      </c>
      <c r="Y9" s="189">
        <v>2</v>
      </c>
      <c r="Z9" s="190">
        <v>2</v>
      </c>
      <c r="AA9" s="14"/>
      <c r="AB9" s="14"/>
      <c r="AC9" s="14"/>
      <c r="AD9" s="14"/>
      <c r="AE9" s="14"/>
      <c r="AF9" s="14"/>
      <c r="AG9" s="14"/>
      <c r="AH9" s="14"/>
      <c r="AI9" s="14"/>
    </row>
    <row r="10" spans="1:35" ht="15.75" thickBot="1">
      <c r="B10" s="159" t="s">
        <v>91</v>
      </c>
      <c r="C10" s="160">
        <v>4</v>
      </c>
      <c r="D10" s="161">
        <v>8</v>
      </c>
      <c r="E10" s="161">
        <v>12</v>
      </c>
      <c r="F10" s="161">
        <v>16</v>
      </c>
      <c r="G10" s="162">
        <v>20</v>
      </c>
      <c r="S10" s="13"/>
      <c r="T10" s="14"/>
      <c r="U10" s="196" t="s">
        <v>105</v>
      </c>
      <c r="V10" s="194">
        <v>4</v>
      </c>
      <c r="W10" s="192">
        <v>8</v>
      </c>
      <c r="X10" s="193">
        <v>12</v>
      </c>
      <c r="Y10" s="194">
        <v>16</v>
      </c>
      <c r="Z10" s="195">
        <v>20</v>
      </c>
      <c r="AA10" s="14"/>
      <c r="AB10" s="14"/>
      <c r="AC10" s="14"/>
      <c r="AD10" s="14"/>
      <c r="AE10" s="14"/>
      <c r="AF10" s="14"/>
      <c r="AG10" s="14"/>
      <c r="AH10" s="14"/>
      <c r="AI10" s="14"/>
    </row>
    <row r="11" spans="1:35" ht="15.75" thickBot="1">
      <c r="B11" s="159" t="s">
        <v>79</v>
      </c>
      <c r="C11" s="160">
        <v>2</v>
      </c>
      <c r="D11" s="161">
        <v>2</v>
      </c>
      <c r="E11" s="161">
        <v>2</v>
      </c>
      <c r="F11" s="161">
        <v>2</v>
      </c>
      <c r="G11" s="162">
        <v>2</v>
      </c>
      <c r="S11" s="13"/>
      <c r="T11" s="14"/>
      <c r="U11" s="197" t="s">
        <v>95</v>
      </c>
      <c r="V11" s="189">
        <v>3</v>
      </c>
      <c r="W11" s="189">
        <v>3</v>
      </c>
      <c r="X11" s="188">
        <v>3</v>
      </c>
      <c r="Y11" s="189">
        <v>3</v>
      </c>
      <c r="Z11" s="190">
        <v>3</v>
      </c>
      <c r="AA11" s="14"/>
      <c r="AB11" s="14"/>
      <c r="AC11" s="14"/>
      <c r="AD11" s="14"/>
      <c r="AE11" s="14"/>
      <c r="AF11" s="14"/>
      <c r="AG11" s="14"/>
      <c r="AH11" s="14"/>
      <c r="AI11" s="14"/>
    </row>
    <row r="12" spans="1:35" ht="15.75" thickBot="1">
      <c r="B12" s="159" t="s">
        <v>77</v>
      </c>
      <c r="C12" s="160">
        <v>4</v>
      </c>
      <c r="D12" s="161">
        <v>4</v>
      </c>
      <c r="E12" s="161">
        <v>4</v>
      </c>
      <c r="F12" s="161">
        <v>4</v>
      </c>
      <c r="G12" s="162">
        <v>4</v>
      </c>
      <c r="S12" s="13"/>
      <c r="T12" s="14"/>
      <c r="U12" s="196" t="s">
        <v>105</v>
      </c>
      <c r="V12" s="198">
        <v>4</v>
      </c>
      <c r="W12" s="199">
        <v>8</v>
      </c>
      <c r="X12" s="200">
        <v>12</v>
      </c>
      <c r="Y12" s="198">
        <v>16</v>
      </c>
      <c r="Z12" s="201">
        <v>20</v>
      </c>
      <c r="AA12" s="14"/>
      <c r="AB12" s="14"/>
      <c r="AC12" s="14"/>
      <c r="AD12" s="14"/>
      <c r="AE12" s="14"/>
      <c r="AF12" s="14"/>
      <c r="AG12" s="14"/>
      <c r="AH12" s="14"/>
      <c r="AI12" s="14"/>
    </row>
    <row r="13" spans="1:35" ht="15.75" thickBot="1">
      <c r="B13" s="163" t="s">
        <v>78</v>
      </c>
      <c r="C13" s="156">
        <v>2</v>
      </c>
      <c r="D13" s="157">
        <v>2</v>
      </c>
      <c r="E13" s="157">
        <v>2</v>
      </c>
      <c r="F13" s="157">
        <v>2</v>
      </c>
      <c r="G13" s="158">
        <v>2</v>
      </c>
      <c r="S13" s="13"/>
      <c r="T13" s="14"/>
      <c r="U13" s="14"/>
      <c r="V13" s="14"/>
      <c r="W13" s="14"/>
      <c r="X13" s="14"/>
      <c r="Y13" s="14"/>
      <c r="Z13" s="14"/>
      <c r="AA13" s="14"/>
      <c r="AB13" s="14"/>
      <c r="AC13" s="14"/>
      <c r="AD13" s="14"/>
      <c r="AE13" s="14"/>
      <c r="AF13" s="14"/>
      <c r="AG13" s="14"/>
      <c r="AH13" s="14"/>
      <c r="AI13" s="14"/>
    </row>
    <row r="14" spans="1:35" ht="15.75" thickBot="1">
      <c r="B14" s="151" t="s">
        <v>90</v>
      </c>
      <c r="C14" s="152">
        <v>3</v>
      </c>
      <c r="D14" s="153">
        <v>3</v>
      </c>
      <c r="E14" s="153">
        <v>3</v>
      </c>
      <c r="F14" s="153">
        <v>3</v>
      </c>
      <c r="G14" s="154">
        <v>3</v>
      </c>
      <c r="S14" s="13"/>
      <c r="T14" s="14"/>
      <c r="U14" s="14"/>
      <c r="V14" s="14"/>
      <c r="W14" s="14"/>
      <c r="X14" s="14"/>
      <c r="Y14" s="14"/>
      <c r="Z14" s="14"/>
      <c r="AA14" s="14"/>
      <c r="AB14" s="14"/>
      <c r="AC14" s="14"/>
      <c r="AD14" s="14"/>
      <c r="AE14" s="14"/>
      <c r="AF14" s="14"/>
      <c r="AG14" s="14"/>
      <c r="AH14" s="14"/>
      <c r="AI14" s="14"/>
    </row>
    <row r="15" spans="1:35">
      <c r="B15" s="159" t="s">
        <v>91</v>
      </c>
      <c r="C15" s="160">
        <v>4</v>
      </c>
      <c r="D15" s="161">
        <v>8</v>
      </c>
      <c r="E15" s="161">
        <v>12</v>
      </c>
      <c r="F15" s="161">
        <v>16</v>
      </c>
      <c r="G15" s="162">
        <v>20</v>
      </c>
      <c r="S15" s="13"/>
      <c r="T15" s="531" t="s">
        <v>106</v>
      </c>
      <c r="U15" s="532"/>
      <c r="V15" s="532"/>
      <c r="W15" s="532"/>
      <c r="X15" s="532"/>
      <c r="Y15" s="532"/>
      <c r="Z15" s="533"/>
      <c r="AA15" s="14"/>
      <c r="AB15" s="14"/>
      <c r="AC15" s="14"/>
      <c r="AD15" s="14"/>
      <c r="AE15" s="14"/>
      <c r="AF15" s="14"/>
      <c r="AG15" s="14"/>
      <c r="AH15" s="14"/>
      <c r="AI15" s="14"/>
    </row>
    <row r="16" spans="1:35" ht="15.75" thickBot="1">
      <c r="B16" s="159" t="s">
        <v>79</v>
      </c>
      <c r="C16" s="160">
        <v>2</v>
      </c>
      <c r="D16" s="161">
        <v>2</v>
      </c>
      <c r="E16" s="161">
        <v>2</v>
      </c>
      <c r="F16" s="161">
        <v>2</v>
      </c>
      <c r="G16" s="162">
        <v>2</v>
      </c>
      <c r="S16" s="13"/>
      <c r="T16" s="534"/>
      <c r="U16" s="535"/>
      <c r="V16" s="535"/>
      <c r="W16" s="535"/>
      <c r="X16" s="535"/>
      <c r="Y16" s="535"/>
      <c r="Z16" s="536"/>
      <c r="AA16" s="14"/>
      <c r="AB16" s="14"/>
      <c r="AC16" s="14"/>
      <c r="AD16" s="14"/>
      <c r="AE16" s="14"/>
      <c r="AF16" s="14"/>
      <c r="AG16" s="14"/>
      <c r="AH16" s="14"/>
      <c r="AI16" s="14"/>
    </row>
    <row r="17" spans="2:35">
      <c r="B17" s="163" t="s">
        <v>77</v>
      </c>
      <c r="C17" s="156">
        <v>4</v>
      </c>
      <c r="D17" s="157">
        <v>4</v>
      </c>
      <c r="E17" s="157">
        <v>4</v>
      </c>
      <c r="F17" s="157">
        <v>4</v>
      </c>
      <c r="G17" s="158">
        <v>4</v>
      </c>
      <c r="S17" s="13"/>
      <c r="T17" s="202" t="s">
        <v>99</v>
      </c>
      <c r="U17" s="203" t="s">
        <v>93</v>
      </c>
      <c r="V17" s="204">
        <f>V7*V8/4+V8/4</f>
        <v>2</v>
      </c>
      <c r="W17" s="205">
        <f>W7*W8/4+W8/4</f>
        <v>4</v>
      </c>
      <c r="X17" s="204">
        <f>X7*X8/4+X8/4</f>
        <v>6</v>
      </c>
      <c r="Y17" s="205">
        <f>Y7*Y8/4+Y8/4</f>
        <v>8</v>
      </c>
      <c r="Z17" s="204">
        <f>Z7*Z8/4+Z8/4</f>
        <v>10</v>
      </c>
      <c r="AA17" s="14"/>
      <c r="AB17" s="14"/>
      <c r="AC17" s="14"/>
      <c r="AD17" s="14"/>
      <c r="AE17" s="14"/>
      <c r="AF17" s="14"/>
      <c r="AG17" s="14"/>
      <c r="AH17" s="14"/>
      <c r="AI17" s="14"/>
    </row>
    <row r="18" spans="2:35" ht="15.75" thickBot="1">
      <c r="B18" s="163" t="s">
        <v>78</v>
      </c>
      <c r="C18" s="156">
        <v>2</v>
      </c>
      <c r="D18" s="157">
        <v>2</v>
      </c>
      <c r="E18" s="157">
        <v>2</v>
      </c>
      <c r="F18" s="157">
        <v>2</v>
      </c>
      <c r="G18" s="158">
        <v>2</v>
      </c>
      <c r="S18" s="13"/>
      <c r="T18" s="206"/>
      <c r="U18" s="207" t="s">
        <v>94</v>
      </c>
      <c r="V18" s="208">
        <f>V9*V10/4+V10/4</f>
        <v>3</v>
      </c>
      <c r="W18" s="94">
        <f>W9*W10/4+W10/4</f>
        <v>6</v>
      </c>
      <c r="X18" s="208">
        <f>X9*X10/4+X10/4</f>
        <v>9</v>
      </c>
      <c r="Y18" s="94">
        <f>Y9*Y10/4+Y10/4</f>
        <v>12</v>
      </c>
      <c r="Z18" s="208">
        <f>Z9*Z10/4+Z10/4</f>
        <v>15</v>
      </c>
      <c r="AA18" s="14"/>
      <c r="AB18" s="14"/>
      <c r="AC18" s="14"/>
      <c r="AD18" s="14"/>
      <c r="AE18" s="14"/>
      <c r="AF18" s="14"/>
      <c r="AG18" s="14"/>
      <c r="AH18" s="14"/>
      <c r="AI18" s="14"/>
    </row>
    <row r="19" spans="2:35" ht="15.75" thickBot="1">
      <c r="B19" s="151" t="s">
        <v>90</v>
      </c>
      <c r="C19" s="152">
        <v>4</v>
      </c>
      <c r="D19" s="153">
        <v>4</v>
      </c>
      <c r="E19" s="153">
        <v>4</v>
      </c>
      <c r="F19" s="153">
        <v>4</v>
      </c>
      <c r="G19" s="154">
        <v>4</v>
      </c>
      <c r="S19" s="13"/>
      <c r="T19" s="209"/>
      <c r="U19" s="210" t="s">
        <v>95</v>
      </c>
      <c r="V19" s="211">
        <f>V11*V12/4+V12/4</f>
        <v>4</v>
      </c>
      <c r="W19" s="212">
        <f>W11*W12/4+W12/4</f>
        <v>8</v>
      </c>
      <c r="X19" s="211">
        <f>X11*X12/4+X12/4</f>
        <v>12</v>
      </c>
      <c r="Y19" s="212">
        <f>Y11*Y12/4+Y12/4</f>
        <v>16</v>
      </c>
      <c r="Z19" s="211">
        <f>Z11*Z12/4+Z12/4</f>
        <v>20</v>
      </c>
      <c r="AA19" s="14"/>
      <c r="AB19" s="14"/>
      <c r="AC19" s="14"/>
      <c r="AD19" s="14"/>
      <c r="AE19" s="14"/>
      <c r="AF19" s="14"/>
      <c r="AG19" s="14"/>
      <c r="AH19" s="14"/>
      <c r="AI19" s="14"/>
    </row>
    <row r="20" spans="2:35">
      <c r="B20" s="159" t="s">
        <v>91</v>
      </c>
      <c r="C20" s="160">
        <v>4</v>
      </c>
      <c r="D20" s="161">
        <v>8</v>
      </c>
      <c r="E20" s="161">
        <v>12</v>
      </c>
      <c r="F20" s="161">
        <v>16</v>
      </c>
      <c r="G20" s="162">
        <v>20</v>
      </c>
      <c r="S20" s="13"/>
      <c r="T20" s="213" t="s">
        <v>92</v>
      </c>
      <c r="U20" s="203" t="s">
        <v>93</v>
      </c>
      <c r="V20" s="214">
        <f>(V8/2+1)*V7</f>
        <v>3</v>
      </c>
      <c r="W20" s="94">
        <f>(W8/2+1)*W7</f>
        <v>5</v>
      </c>
      <c r="X20" s="208">
        <f>(X8/2+1)*X7</f>
        <v>7</v>
      </c>
      <c r="Y20" s="94">
        <f>(Y8/2+1)*Y7</f>
        <v>9</v>
      </c>
      <c r="Z20" s="208">
        <f>(Z8/2+1)*Z7</f>
        <v>11</v>
      </c>
      <c r="AA20" s="14"/>
      <c r="AB20" s="14"/>
      <c r="AC20" s="14"/>
      <c r="AD20" s="14"/>
      <c r="AE20" s="14"/>
      <c r="AF20" s="14"/>
      <c r="AG20" s="14"/>
      <c r="AH20" s="14"/>
      <c r="AI20" s="14"/>
    </row>
    <row r="21" spans="2:35">
      <c r="B21" s="159" t="s">
        <v>79</v>
      </c>
      <c r="C21" s="160">
        <v>2</v>
      </c>
      <c r="D21" s="161">
        <v>2</v>
      </c>
      <c r="E21" s="161">
        <v>2</v>
      </c>
      <c r="F21" s="161">
        <v>2</v>
      </c>
      <c r="G21" s="162">
        <v>2</v>
      </c>
      <c r="S21" s="13"/>
      <c r="T21" s="213"/>
      <c r="U21" s="207" t="s">
        <v>94</v>
      </c>
      <c r="V21" s="214">
        <f>(V10/2+1)*V9</f>
        <v>6</v>
      </c>
      <c r="W21" s="94">
        <f>(W10/2+1)*W9</f>
        <v>10</v>
      </c>
      <c r="X21" s="208">
        <f>(X10/2+1)*X9</f>
        <v>14</v>
      </c>
      <c r="Y21" s="94">
        <f>(Y10/2+1)*Y9</f>
        <v>18</v>
      </c>
      <c r="Z21" s="208">
        <f>(Z10/2+1)*Z9</f>
        <v>22</v>
      </c>
      <c r="AA21" s="14"/>
      <c r="AB21" s="14"/>
      <c r="AC21" s="14"/>
      <c r="AD21" s="14"/>
      <c r="AE21" s="14"/>
      <c r="AF21" s="14"/>
      <c r="AG21" s="14"/>
      <c r="AH21" s="14"/>
      <c r="AI21" s="14"/>
    </row>
    <row r="22" spans="2:35" ht="15.75" thickBot="1">
      <c r="B22" s="159" t="s">
        <v>77</v>
      </c>
      <c r="C22" s="160">
        <v>4</v>
      </c>
      <c r="D22" s="161">
        <v>4</v>
      </c>
      <c r="E22" s="161">
        <v>4</v>
      </c>
      <c r="F22" s="161">
        <v>4</v>
      </c>
      <c r="G22" s="162">
        <v>4</v>
      </c>
      <c r="S22" s="13"/>
      <c r="T22" s="215"/>
      <c r="U22" s="210" t="s">
        <v>95</v>
      </c>
      <c r="V22" s="216">
        <f>(V12/2+1)*V11</f>
        <v>9</v>
      </c>
      <c r="W22" s="212">
        <f>(W12/2+1)*W11</f>
        <v>15</v>
      </c>
      <c r="X22" s="211">
        <f>(X12/2+1)*X11</f>
        <v>21</v>
      </c>
      <c r="Y22" s="212">
        <f>(Y12/2+1)*Y11</f>
        <v>27</v>
      </c>
      <c r="Z22" s="211">
        <f>(Z12/2+1)*Z11</f>
        <v>33</v>
      </c>
      <c r="AA22" s="14"/>
      <c r="AB22" s="14"/>
      <c r="AC22" s="14"/>
      <c r="AD22" s="14"/>
      <c r="AE22" s="14"/>
      <c r="AF22" s="14"/>
      <c r="AG22" s="14"/>
      <c r="AH22" s="14"/>
      <c r="AI22" s="14"/>
    </row>
    <row r="23" spans="2:35" ht="15.75" thickBot="1">
      <c r="B23" s="163" t="s">
        <v>78</v>
      </c>
      <c r="C23" s="156">
        <v>2</v>
      </c>
      <c r="D23" s="157">
        <v>2</v>
      </c>
      <c r="E23" s="157">
        <v>2</v>
      </c>
      <c r="F23" s="157">
        <v>2</v>
      </c>
      <c r="G23" s="158">
        <v>2</v>
      </c>
      <c r="S23" s="13"/>
      <c r="T23" s="217" t="s">
        <v>107</v>
      </c>
      <c r="U23" s="203" t="s">
        <v>93</v>
      </c>
      <c r="V23" s="208">
        <f>V8/2+1</f>
        <v>3</v>
      </c>
      <c r="W23" s="94">
        <f>W8/2+1</f>
        <v>5</v>
      </c>
      <c r="X23" s="208">
        <f>X8/2+1</f>
        <v>7</v>
      </c>
      <c r="Y23" s="94">
        <f>Y8/2+1</f>
        <v>9</v>
      </c>
      <c r="Z23" s="208">
        <f>Z8/2+1</f>
        <v>11</v>
      </c>
      <c r="AA23" s="14"/>
      <c r="AB23" s="14"/>
      <c r="AC23" s="14"/>
      <c r="AD23" s="14"/>
      <c r="AE23" s="14"/>
      <c r="AF23" s="14"/>
      <c r="AG23" s="14"/>
      <c r="AH23" s="14"/>
      <c r="AI23" s="14"/>
    </row>
    <row r="24" spans="2:35" ht="15.75" thickBot="1">
      <c r="B24" s="151" t="s">
        <v>90</v>
      </c>
      <c r="C24" s="152">
        <v>5</v>
      </c>
      <c r="D24" s="153">
        <v>5</v>
      </c>
      <c r="E24" s="153">
        <v>5</v>
      </c>
      <c r="F24" s="153">
        <v>5</v>
      </c>
      <c r="G24" s="154">
        <v>5</v>
      </c>
      <c r="S24" s="13"/>
      <c r="T24" s="217"/>
      <c r="U24" s="207" t="s">
        <v>94</v>
      </c>
      <c r="V24" s="208">
        <f>V10/2+1</f>
        <v>3</v>
      </c>
      <c r="W24" s="94">
        <f>W10/2+1</f>
        <v>5</v>
      </c>
      <c r="X24" s="208">
        <f>X10/2+1</f>
        <v>7</v>
      </c>
      <c r="Y24" s="94">
        <f>Y10/2+1</f>
        <v>9</v>
      </c>
      <c r="Z24" s="208">
        <f>Z10/2+1</f>
        <v>11</v>
      </c>
      <c r="AA24" s="14"/>
      <c r="AB24" s="14"/>
      <c r="AC24" s="14"/>
      <c r="AD24" s="14"/>
      <c r="AE24" s="14"/>
      <c r="AF24" s="14"/>
      <c r="AG24" s="14"/>
      <c r="AH24" s="14"/>
      <c r="AI24" s="14"/>
    </row>
    <row r="25" spans="2:35" ht="15.75" thickBot="1">
      <c r="B25" s="155" t="s">
        <v>91</v>
      </c>
      <c r="C25" s="156">
        <v>4</v>
      </c>
      <c r="D25" s="157">
        <v>8</v>
      </c>
      <c r="E25" s="157">
        <v>12</v>
      </c>
      <c r="F25" s="157">
        <v>16</v>
      </c>
      <c r="G25" s="158">
        <v>20</v>
      </c>
      <c r="S25" s="13"/>
      <c r="T25" s="218"/>
      <c r="U25" s="210" t="s">
        <v>95</v>
      </c>
      <c r="V25" s="211">
        <f>V12/2+1</f>
        <v>3</v>
      </c>
      <c r="W25" s="212">
        <f>W12/2+1</f>
        <v>5</v>
      </c>
      <c r="X25" s="211">
        <f>X12/2+1</f>
        <v>7</v>
      </c>
      <c r="Y25" s="212">
        <f>Y12/2+1</f>
        <v>9</v>
      </c>
      <c r="Z25" s="211">
        <f>Z12/2+1</f>
        <v>11</v>
      </c>
      <c r="AA25" s="14"/>
      <c r="AB25" s="14"/>
      <c r="AC25" s="14"/>
      <c r="AD25" s="14"/>
      <c r="AE25" s="14"/>
      <c r="AF25" s="14"/>
      <c r="AG25" s="14"/>
      <c r="AH25" s="14"/>
      <c r="AI25" s="14"/>
    </row>
    <row r="26" spans="2:35">
      <c r="B26" s="155" t="s">
        <v>79</v>
      </c>
      <c r="C26" s="156">
        <v>2</v>
      </c>
      <c r="D26" s="157">
        <v>2</v>
      </c>
      <c r="E26" s="157">
        <v>2</v>
      </c>
      <c r="F26" s="157">
        <v>2</v>
      </c>
      <c r="G26" s="158">
        <v>2</v>
      </c>
      <c r="S26" s="13"/>
      <c r="T26" s="219" t="s">
        <v>101</v>
      </c>
      <c r="U26" s="203" t="s">
        <v>93</v>
      </c>
      <c r="V26" s="208">
        <f>V23*(V7+1)+V20*3</f>
        <v>15</v>
      </c>
      <c r="W26" s="94">
        <f>W23*(W7+1)+W20*3</f>
        <v>25</v>
      </c>
      <c r="X26" s="208">
        <f>X23*(X7+1)+X20*3</f>
        <v>35</v>
      </c>
      <c r="Y26" s="94">
        <f>Y23*(Y7+1)+Y20*3</f>
        <v>45</v>
      </c>
      <c r="Z26" s="208">
        <f>Z23*(Z7+1)+Z20*3</f>
        <v>55</v>
      </c>
      <c r="AA26" s="14"/>
      <c r="AB26" s="14"/>
      <c r="AC26" s="14"/>
      <c r="AD26" s="14"/>
      <c r="AE26" s="14"/>
      <c r="AF26" s="14"/>
      <c r="AG26" s="14"/>
      <c r="AH26" s="14"/>
      <c r="AI26" s="14"/>
    </row>
    <row r="27" spans="2:35">
      <c r="B27" s="155" t="s">
        <v>77</v>
      </c>
      <c r="C27" s="156">
        <v>4</v>
      </c>
      <c r="D27" s="157">
        <v>4</v>
      </c>
      <c r="E27" s="157">
        <v>4</v>
      </c>
      <c r="F27" s="157">
        <v>4</v>
      </c>
      <c r="G27" s="158">
        <v>4</v>
      </c>
      <c r="S27" s="13"/>
      <c r="T27" s="219"/>
      <c r="U27" s="207" t="s">
        <v>94</v>
      </c>
      <c r="V27" s="208">
        <f>V24*(V9+1)+V21*3</f>
        <v>27</v>
      </c>
      <c r="W27" s="94">
        <f>W24*(W9+1)+W21*3</f>
        <v>45</v>
      </c>
      <c r="X27" s="208">
        <f>X24*(X9+1)+X21*3</f>
        <v>63</v>
      </c>
      <c r="Y27" s="94">
        <f>Y24*(Y9+1)+Y21*3</f>
        <v>81</v>
      </c>
      <c r="Z27" s="208">
        <f>Z24*(Z9+1)+Z21*3</f>
        <v>99</v>
      </c>
      <c r="AA27" s="14"/>
      <c r="AB27" s="14"/>
      <c r="AC27" s="14"/>
      <c r="AD27" s="14"/>
      <c r="AE27" s="14"/>
      <c r="AF27" s="14"/>
      <c r="AG27" s="14"/>
      <c r="AH27" s="14"/>
      <c r="AI27" s="14"/>
    </row>
    <row r="28" spans="2:35" ht="15.75" thickBot="1">
      <c r="B28" s="155" t="s">
        <v>78</v>
      </c>
      <c r="C28" s="156">
        <v>2</v>
      </c>
      <c r="D28" s="157">
        <v>2</v>
      </c>
      <c r="E28" s="157">
        <v>2</v>
      </c>
      <c r="F28" s="157">
        <v>2</v>
      </c>
      <c r="G28" s="158">
        <v>2</v>
      </c>
      <c r="S28" s="13"/>
      <c r="T28" s="220"/>
      <c r="U28" s="210" t="s">
        <v>95</v>
      </c>
      <c r="V28" s="211">
        <f>V25*(V11+1)+V22*3</f>
        <v>39</v>
      </c>
      <c r="W28" s="212">
        <f>W25*(W11+1)+W22*3</f>
        <v>65</v>
      </c>
      <c r="X28" s="211">
        <f>X25*(X11+1)+X22*3</f>
        <v>91</v>
      </c>
      <c r="Y28" s="212">
        <f>Y25*(Y11+1)+Y22*3</f>
        <v>117</v>
      </c>
      <c r="Z28" s="211">
        <f>Z25*(Z11+1)+Z22*3</f>
        <v>143</v>
      </c>
      <c r="AA28" s="14"/>
      <c r="AB28" s="14"/>
      <c r="AC28" s="14"/>
      <c r="AD28" s="14"/>
      <c r="AE28" s="14"/>
      <c r="AF28" s="14"/>
      <c r="AG28" s="14"/>
      <c r="AH28" s="14"/>
      <c r="AI28" s="14"/>
    </row>
    <row r="29" spans="2:35" ht="15.75" thickBot="1">
      <c r="B29" s="164" t="s">
        <v>90</v>
      </c>
      <c r="C29" s="165">
        <v>6</v>
      </c>
      <c r="D29" s="166">
        <v>6</v>
      </c>
      <c r="E29" s="166">
        <v>6</v>
      </c>
      <c r="F29" s="166">
        <v>6</v>
      </c>
      <c r="G29" s="50">
        <v>6</v>
      </c>
      <c r="S29" s="13"/>
      <c r="T29" s="221"/>
      <c r="U29" s="221"/>
      <c r="V29" s="14"/>
      <c r="W29" s="14"/>
      <c r="X29" s="14"/>
      <c r="Y29" s="14"/>
      <c r="Z29" s="14"/>
      <c r="AA29" s="14"/>
      <c r="AB29" s="14"/>
      <c r="AC29" s="14"/>
      <c r="AD29" s="14"/>
      <c r="AE29" s="14"/>
      <c r="AF29" s="14"/>
      <c r="AG29" s="14"/>
      <c r="AH29" s="14"/>
      <c r="AI29" s="14"/>
    </row>
    <row r="30" spans="2:35" ht="15.75" thickBot="1">
      <c r="B30" s="167" t="s">
        <v>91</v>
      </c>
      <c r="C30" s="168">
        <v>4</v>
      </c>
      <c r="D30" s="169">
        <v>8</v>
      </c>
      <c r="E30" s="169">
        <v>12</v>
      </c>
      <c r="F30" s="169">
        <v>16</v>
      </c>
      <c r="G30" s="170">
        <v>20</v>
      </c>
      <c r="S30" s="13"/>
      <c r="T30" s="221"/>
      <c r="U30" s="221"/>
      <c r="V30" s="14"/>
      <c r="W30" s="14"/>
      <c r="X30" s="14"/>
      <c r="Y30" s="14"/>
      <c r="Z30" s="14"/>
      <c r="AA30" s="14"/>
      <c r="AB30" s="14"/>
      <c r="AC30" s="14"/>
      <c r="AD30" s="14"/>
      <c r="AE30" s="14"/>
      <c r="AF30" s="14"/>
      <c r="AG30" s="14"/>
      <c r="AH30" s="14"/>
      <c r="AI30" s="14"/>
    </row>
    <row r="31" spans="2:35">
      <c r="B31" s="155" t="s">
        <v>79</v>
      </c>
      <c r="C31" s="171">
        <v>2</v>
      </c>
      <c r="D31" s="157">
        <v>2</v>
      </c>
      <c r="E31" s="157">
        <v>2</v>
      </c>
      <c r="F31" s="157">
        <v>2</v>
      </c>
      <c r="G31" s="158">
        <v>2</v>
      </c>
      <c r="S31" s="13"/>
      <c r="T31" s="525" t="s">
        <v>108</v>
      </c>
      <c r="U31" s="526"/>
      <c r="V31" s="526"/>
      <c r="W31" s="526"/>
      <c r="X31" s="526"/>
      <c r="Y31" s="526"/>
      <c r="Z31" s="527"/>
      <c r="AA31" s="14"/>
      <c r="AB31" s="14"/>
      <c r="AC31" s="14"/>
      <c r="AD31" s="14"/>
      <c r="AE31" s="14"/>
      <c r="AF31" s="14"/>
      <c r="AG31" s="14"/>
      <c r="AH31" s="14"/>
      <c r="AI31" s="14"/>
    </row>
    <row r="32" spans="2:35" ht="15.75" thickBot="1">
      <c r="B32" s="155" t="s">
        <v>77</v>
      </c>
      <c r="C32" s="171">
        <v>4</v>
      </c>
      <c r="D32" s="157">
        <v>4</v>
      </c>
      <c r="E32" s="157">
        <v>4</v>
      </c>
      <c r="F32" s="157">
        <v>4</v>
      </c>
      <c r="G32" s="158">
        <v>4</v>
      </c>
      <c r="S32" s="13"/>
      <c r="T32" s="528"/>
      <c r="U32" s="529"/>
      <c r="V32" s="529"/>
      <c r="W32" s="529"/>
      <c r="X32" s="529"/>
      <c r="Y32" s="529"/>
      <c r="Z32" s="530"/>
      <c r="AA32" s="14"/>
      <c r="AB32" s="14"/>
      <c r="AC32" s="14"/>
      <c r="AD32" s="14"/>
      <c r="AE32" s="14"/>
      <c r="AF32" s="14"/>
      <c r="AG32" s="14"/>
      <c r="AH32" s="14"/>
      <c r="AI32" s="14"/>
    </row>
    <row r="33" spans="1:35" ht="15.75" thickBot="1">
      <c r="B33" s="172" t="s">
        <v>78</v>
      </c>
      <c r="C33" s="173">
        <v>2</v>
      </c>
      <c r="D33" s="174">
        <v>2</v>
      </c>
      <c r="E33" s="174">
        <v>2</v>
      </c>
      <c r="F33" s="174">
        <v>2</v>
      </c>
      <c r="G33" s="175">
        <v>2</v>
      </c>
      <c r="S33" s="13"/>
      <c r="T33" s="222" t="s">
        <v>109</v>
      </c>
      <c r="U33" s="186" t="s">
        <v>93</v>
      </c>
      <c r="V33" s="204">
        <f t="shared" ref="V33:Z35" si="0">V17*4+V20*2+V23*3.5</f>
        <v>24.5</v>
      </c>
      <c r="W33" s="205">
        <f t="shared" si="0"/>
        <v>43.5</v>
      </c>
      <c r="X33" s="204">
        <f t="shared" si="0"/>
        <v>62.5</v>
      </c>
      <c r="Y33" s="205">
        <f t="shared" si="0"/>
        <v>81.5</v>
      </c>
      <c r="Z33" s="204">
        <f t="shared" si="0"/>
        <v>100.5</v>
      </c>
      <c r="AA33" s="14"/>
      <c r="AB33" s="14"/>
      <c r="AC33" s="14"/>
      <c r="AD33" s="14"/>
      <c r="AE33" s="14"/>
      <c r="AF33" s="14"/>
      <c r="AG33" s="14"/>
      <c r="AH33" s="14"/>
      <c r="AI33" s="14"/>
    </row>
    <row r="34" spans="1:35">
      <c r="B34" s="176"/>
      <c r="C34" s="6"/>
      <c r="D34" s="6"/>
      <c r="E34" s="6"/>
      <c r="F34" s="6"/>
      <c r="G34" s="6"/>
      <c r="S34" s="13"/>
      <c r="T34" s="223"/>
      <c r="U34" s="197" t="s">
        <v>94</v>
      </c>
      <c r="V34" s="208">
        <f t="shared" si="0"/>
        <v>34.5</v>
      </c>
      <c r="W34" s="94">
        <f t="shared" si="0"/>
        <v>61.5</v>
      </c>
      <c r="X34" s="208">
        <f t="shared" si="0"/>
        <v>88.5</v>
      </c>
      <c r="Y34" s="94">
        <f t="shared" si="0"/>
        <v>115.5</v>
      </c>
      <c r="Z34" s="208">
        <f t="shared" si="0"/>
        <v>142.5</v>
      </c>
      <c r="AA34" s="14"/>
      <c r="AB34" s="14"/>
      <c r="AC34" s="14"/>
      <c r="AD34" s="14"/>
      <c r="AE34" s="14"/>
      <c r="AF34" s="14"/>
      <c r="AG34" s="14"/>
      <c r="AH34" s="14"/>
      <c r="AI34" s="14"/>
    </row>
    <row r="35" spans="1:35" ht="15.75" thickBot="1">
      <c r="B35" s="176"/>
      <c r="C35" s="6">
        <v>4</v>
      </c>
      <c r="D35" s="6">
        <v>8</v>
      </c>
      <c r="E35" s="6">
        <v>12</v>
      </c>
      <c r="F35" s="6">
        <v>16</v>
      </c>
      <c r="G35" s="6">
        <v>20</v>
      </c>
      <c r="S35" s="13"/>
      <c r="T35" s="224"/>
      <c r="U35" s="191" t="s">
        <v>95</v>
      </c>
      <c r="V35" s="211">
        <f t="shared" si="0"/>
        <v>44.5</v>
      </c>
      <c r="W35" s="212">
        <f t="shared" si="0"/>
        <v>79.5</v>
      </c>
      <c r="X35" s="211">
        <f t="shared" si="0"/>
        <v>114.5</v>
      </c>
      <c r="Y35" s="212">
        <f t="shared" si="0"/>
        <v>149.5</v>
      </c>
      <c r="Z35" s="211">
        <f t="shared" si="0"/>
        <v>184.5</v>
      </c>
      <c r="AA35" s="14"/>
      <c r="AB35" s="14"/>
      <c r="AC35" s="14"/>
      <c r="AD35" s="14"/>
      <c r="AE35" s="14"/>
      <c r="AF35" s="14"/>
      <c r="AG35" s="14"/>
      <c r="AH35" s="14"/>
      <c r="AI35" s="14"/>
    </row>
    <row r="36" spans="1:35">
      <c r="A36" s="562" t="s">
        <v>92</v>
      </c>
      <c r="B36" s="177" t="s">
        <v>93</v>
      </c>
      <c r="C36" s="178">
        <f>C5/C6+1</f>
        <v>3</v>
      </c>
      <c r="D36" s="169">
        <f>D5/D6+1</f>
        <v>5</v>
      </c>
      <c r="E36" s="169">
        <f>E5/E6+1</f>
        <v>7</v>
      </c>
      <c r="F36" s="169">
        <f>F5/F6+1</f>
        <v>9</v>
      </c>
      <c r="G36" s="170">
        <f>G5/G6+1</f>
        <v>11</v>
      </c>
      <c r="S36" s="13"/>
      <c r="T36" s="221"/>
      <c r="U36" s="221"/>
      <c r="V36" s="14"/>
      <c r="W36" s="14"/>
      <c r="X36" s="14"/>
      <c r="Y36" s="14"/>
      <c r="Z36" s="14"/>
      <c r="AA36" s="14"/>
      <c r="AB36" s="14"/>
      <c r="AC36" s="14"/>
      <c r="AD36" s="14"/>
      <c r="AE36" s="14"/>
      <c r="AF36" s="14"/>
      <c r="AG36" s="14"/>
      <c r="AH36" s="14"/>
      <c r="AI36" s="14"/>
    </row>
    <row r="37" spans="1:35" ht="15.75" thickBot="1">
      <c r="A37" s="563"/>
      <c r="B37" s="179" t="s">
        <v>94</v>
      </c>
      <c r="C37" s="156">
        <f>C10/C11+2+C36</f>
        <v>7</v>
      </c>
      <c r="D37" s="157">
        <f>D10/D11+2+D36</f>
        <v>11</v>
      </c>
      <c r="E37" s="157">
        <f>E10/E11+2+E36</f>
        <v>15</v>
      </c>
      <c r="F37" s="157">
        <f>F10/F11+2+F36</f>
        <v>19</v>
      </c>
      <c r="G37" s="158">
        <f>G10/G11+2+G36</f>
        <v>23</v>
      </c>
      <c r="S37" s="13"/>
      <c r="T37" s="221"/>
      <c r="U37" s="221"/>
      <c r="V37" s="14"/>
      <c r="W37" s="14"/>
      <c r="X37" s="14"/>
      <c r="Y37" s="14"/>
      <c r="Z37" s="14"/>
      <c r="AA37" s="14"/>
      <c r="AB37" s="14"/>
      <c r="AC37" s="14"/>
      <c r="AD37" s="14"/>
      <c r="AE37" s="14"/>
      <c r="AF37" s="14"/>
      <c r="AG37" s="14"/>
      <c r="AH37" s="14"/>
      <c r="AI37" s="14"/>
    </row>
    <row r="38" spans="1:35">
      <c r="A38" s="563"/>
      <c r="B38" s="179" t="s">
        <v>95</v>
      </c>
      <c r="C38" s="156">
        <f>C15/C16+1+C37</f>
        <v>10</v>
      </c>
      <c r="D38" s="157">
        <f>D15/D16+1+D37</f>
        <v>16</v>
      </c>
      <c r="E38" s="157">
        <f>E15/E16+1+E37</f>
        <v>22</v>
      </c>
      <c r="F38" s="157">
        <f>F15/F16+1+F37</f>
        <v>28</v>
      </c>
      <c r="G38" s="158">
        <f>G15/G16+1+G37</f>
        <v>34</v>
      </c>
      <c r="S38" s="13"/>
      <c r="T38" s="513" t="s">
        <v>110</v>
      </c>
      <c r="U38" s="514"/>
      <c r="V38" s="514"/>
      <c r="W38" s="514"/>
      <c r="X38" s="514"/>
      <c r="Y38" s="514"/>
      <c r="Z38" s="514"/>
      <c r="AA38" s="514"/>
      <c r="AB38" s="514"/>
      <c r="AC38" s="514"/>
      <c r="AD38" s="514"/>
      <c r="AE38" s="514"/>
      <c r="AF38" s="514"/>
      <c r="AG38" s="514"/>
      <c r="AH38" s="514"/>
      <c r="AI38" s="515"/>
    </row>
    <row r="39" spans="1:35" ht="15.75" thickBot="1">
      <c r="A39" s="563"/>
      <c r="B39" s="179" t="s">
        <v>96</v>
      </c>
      <c r="C39" s="156">
        <f>C20/C21+2+C38</f>
        <v>14</v>
      </c>
      <c r="D39" s="157">
        <f>D20/D21+2+D38</f>
        <v>22</v>
      </c>
      <c r="E39" s="157">
        <f>E20/E21+2+E38</f>
        <v>30</v>
      </c>
      <c r="F39" s="157">
        <f>F20/F21+2+F38</f>
        <v>38</v>
      </c>
      <c r="G39" s="158">
        <f>G20/G21+2+G38</f>
        <v>46</v>
      </c>
      <c r="S39" s="13"/>
      <c r="T39" s="516"/>
      <c r="U39" s="517"/>
      <c r="V39" s="517"/>
      <c r="W39" s="517"/>
      <c r="X39" s="517"/>
      <c r="Y39" s="517"/>
      <c r="Z39" s="517"/>
      <c r="AA39" s="517"/>
      <c r="AB39" s="517"/>
      <c r="AC39" s="517"/>
      <c r="AD39" s="517"/>
      <c r="AE39" s="517"/>
      <c r="AF39" s="517"/>
      <c r="AG39" s="517"/>
      <c r="AH39" s="517"/>
      <c r="AI39" s="518"/>
    </row>
    <row r="40" spans="1:35" ht="18">
      <c r="A40" s="563"/>
      <c r="B40" s="179" t="s">
        <v>97</v>
      </c>
      <c r="C40" s="156">
        <f>C25/C26+1+C39</f>
        <v>17</v>
      </c>
      <c r="D40" s="157">
        <f>D25/D26+1+D39</f>
        <v>27</v>
      </c>
      <c r="E40" s="157">
        <f>E25/E26+1+E39</f>
        <v>37</v>
      </c>
      <c r="F40" s="157">
        <f>F25/F26+1+F39</f>
        <v>47</v>
      </c>
      <c r="G40" s="158">
        <f>G25/G26+1+G39</f>
        <v>57</v>
      </c>
      <c r="S40" s="13"/>
      <c r="T40" s="556" t="s">
        <v>111</v>
      </c>
      <c r="U40" s="557"/>
      <c r="V40" s="519" t="s">
        <v>112</v>
      </c>
      <c r="W40" s="520"/>
      <c r="X40" s="520"/>
      <c r="Y40" s="520"/>
      <c r="Z40" s="520"/>
      <c r="AA40" s="520"/>
      <c r="AB40" s="520"/>
      <c r="AC40" s="520"/>
      <c r="AD40" s="520"/>
      <c r="AE40" s="520"/>
      <c r="AF40" s="520"/>
      <c r="AG40" s="520"/>
      <c r="AH40" s="520"/>
      <c r="AI40" s="521"/>
    </row>
    <row r="41" spans="1:35" ht="18.75" thickBot="1">
      <c r="A41" s="564"/>
      <c r="B41" s="180" t="s">
        <v>98</v>
      </c>
      <c r="C41" s="181">
        <f>C30/C31+2+C40</f>
        <v>21</v>
      </c>
      <c r="D41" s="174">
        <f>D30/D31+2+D40</f>
        <v>33</v>
      </c>
      <c r="E41" s="174">
        <f>E30/E31+2+E40</f>
        <v>45</v>
      </c>
      <c r="F41" s="174">
        <f>F30/F31+2+F40</f>
        <v>57</v>
      </c>
      <c r="G41" s="175">
        <f>G30/G31+2+G40</f>
        <v>69</v>
      </c>
      <c r="S41" s="13"/>
      <c r="T41" s="511" t="s">
        <v>111</v>
      </c>
      <c r="U41" s="512"/>
      <c r="V41" s="545" t="s">
        <v>112</v>
      </c>
      <c r="W41" s="546"/>
      <c r="X41" s="546"/>
      <c r="Y41" s="546"/>
      <c r="Z41" s="546"/>
      <c r="AA41" s="546"/>
      <c r="AB41" s="546"/>
      <c r="AC41" s="546"/>
      <c r="AD41" s="546"/>
      <c r="AE41" s="546"/>
      <c r="AF41" s="546"/>
      <c r="AG41" s="546"/>
      <c r="AH41" s="546"/>
      <c r="AI41" s="547"/>
    </row>
    <row r="42" spans="1:35" ht="18">
      <c r="A42" s="550" t="s">
        <v>99</v>
      </c>
      <c r="B42" s="177" t="s">
        <v>93</v>
      </c>
      <c r="C42" s="178">
        <f>(C4+1)*C5/C7*2</f>
        <v>4</v>
      </c>
      <c r="D42" s="169">
        <f>(D4+1)*D5/D7*2</f>
        <v>8</v>
      </c>
      <c r="E42" s="169">
        <f>(E4+1)*E5/E7*2</f>
        <v>12</v>
      </c>
      <c r="F42" s="169">
        <f>(F4+1)*F5/F7*2</f>
        <v>16</v>
      </c>
      <c r="G42" s="170">
        <f>(G4+1)*G5/G7*2</f>
        <v>20</v>
      </c>
      <c r="S42" s="13"/>
      <c r="T42" s="511" t="s">
        <v>111</v>
      </c>
      <c r="U42" s="512"/>
      <c r="V42" s="522" t="s">
        <v>112</v>
      </c>
      <c r="W42" s="523"/>
      <c r="X42" s="523"/>
      <c r="Y42" s="523"/>
      <c r="Z42" s="523"/>
      <c r="AA42" s="523"/>
      <c r="AB42" s="523"/>
      <c r="AC42" s="523"/>
      <c r="AD42" s="523"/>
      <c r="AE42" s="523"/>
      <c r="AF42" s="523"/>
      <c r="AG42" s="523"/>
      <c r="AH42" s="523"/>
      <c r="AI42" s="524"/>
    </row>
    <row r="43" spans="1:35" ht="18">
      <c r="A43" s="551"/>
      <c r="B43" s="179" t="s">
        <v>94</v>
      </c>
      <c r="C43" s="156">
        <f>(C9+1)*C10/C12*2</f>
        <v>6</v>
      </c>
      <c r="D43" s="157">
        <f>(D9+1)*D10/D12*2</f>
        <v>12</v>
      </c>
      <c r="E43" s="157">
        <f>(E9+1)*E10/E12*2</f>
        <v>18</v>
      </c>
      <c r="F43" s="157">
        <f>(F9+1)*F10/F12*2</f>
        <v>24</v>
      </c>
      <c r="G43" s="158">
        <f>(G9+1)*G10/G12*2</f>
        <v>30</v>
      </c>
      <c r="S43" s="13"/>
      <c r="T43" s="511" t="s">
        <v>111</v>
      </c>
      <c r="U43" s="512"/>
      <c r="V43" s="545" t="s">
        <v>112</v>
      </c>
      <c r="W43" s="546"/>
      <c r="X43" s="546"/>
      <c r="Y43" s="546"/>
      <c r="Z43" s="546"/>
      <c r="AA43" s="546"/>
      <c r="AB43" s="546"/>
      <c r="AC43" s="546"/>
      <c r="AD43" s="546"/>
      <c r="AE43" s="546"/>
      <c r="AF43" s="546"/>
      <c r="AG43" s="546"/>
      <c r="AH43" s="546"/>
      <c r="AI43" s="547"/>
    </row>
    <row r="44" spans="1:35" ht="18.75" thickBot="1">
      <c r="A44" s="551"/>
      <c r="B44" s="179" t="s">
        <v>95</v>
      </c>
      <c r="C44" s="156">
        <f>(C14+1)*C15/C17*2</f>
        <v>8</v>
      </c>
      <c r="D44" s="157">
        <f>(D14+1)*D15/D17*2</f>
        <v>16</v>
      </c>
      <c r="E44" s="157">
        <f>(E14+1)*E15/E17*2</f>
        <v>24</v>
      </c>
      <c r="F44" s="157">
        <f>(F14+1)*F15/F17*2</f>
        <v>32</v>
      </c>
      <c r="G44" s="158">
        <f>(G14+1)*G15/G17*2</f>
        <v>40</v>
      </c>
      <c r="S44" s="13"/>
      <c r="T44" s="540" t="s">
        <v>111</v>
      </c>
      <c r="U44" s="541"/>
      <c r="V44" s="542" t="s">
        <v>112</v>
      </c>
      <c r="W44" s="543"/>
      <c r="X44" s="543"/>
      <c r="Y44" s="543"/>
      <c r="Z44" s="543"/>
      <c r="AA44" s="543"/>
      <c r="AB44" s="543"/>
      <c r="AC44" s="543"/>
      <c r="AD44" s="543"/>
      <c r="AE44" s="543"/>
      <c r="AF44" s="543"/>
      <c r="AG44" s="543"/>
      <c r="AH44" s="543"/>
      <c r="AI44" s="544"/>
    </row>
    <row r="45" spans="1:35">
      <c r="A45" s="551"/>
      <c r="B45" s="179" t="s">
        <v>96</v>
      </c>
      <c r="C45" s="156">
        <f>(C19+1)*C20/C22*2</f>
        <v>10</v>
      </c>
      <c r="D45" s="157">
        <f>(D19+1)*D20/D22*2</f>
        <v>20</v>
      </c>
      <c r="E45" s="157">
        <f>(E19+1)*E20/E22*2</f>
        <v>30</v>
      </c>
      <c r="F45" s="157">
        <f>(F19+1)*F20/F22*2</f>
        <v>40</v>
      </c>
      <c r="G45" s="158">
        <f>(G19+1)*G20/G22*2</f>
        <v>50</v>
      </c>
      <c r="S45" s="13"/>
      <c r="T45" s="14"/>
      <c r="U45" s="14"/>
      <c r="V45" s="14"/>
      <c r="W45" s="14"/>
      <c r="X45" s="14"/>
      <c r="Y45" s="14"/>
      <c r="Z45" s="14"/>
      <c r="AA45" s="14"/>
      <c r="AB45" s="14"/>
      <c r="AC45" s="14"/>
      <c r="AD45" s="14"/>
      <c r="AE45" s="14"/>
      <c r="AF45" s="14"/>
      <c r="AG45" s="14"/>
      <c r="AH45" s="14"/>
      <c r="AI45" s="14"/>
    </row>
    <row r="46" spans="1:35">
      <c r="A46" s="551"/>
      <c r="B46" s="179" t="s">
        <v>97</v>
      </c>
      <c r="C46" s="156">
        <f>(C24+1)*C25/C27*2</f>
        <v>12</v>
      </c>
      <c r="D46" s="157">
        <f>(D24+1)*D25/D27*2</f>
        <v>24</v>
      </c>
      <c r="E46" s="157">
        <f>(E24+1)*E25/E27*2</f>
        <v>36</v>
      </c>
      <c r="F46" s="157">
        <f>(F24+1)*F25/F27*2</f>
        <v>48</v>
      </c>
      <c r="G46" s="158">
        <f>(G24+1)*G25/G27*2</f>
        <v>60</v>
      </c>
    </row>
    <row r="47" spans="1:35" ht="15.75" thickBot="1">
      <c r="A47" s="552"/>
      <c r="B47" s="180" t="s">
        <v>98</v>
      </c>
      <c r="C47" s="181">
        <f>(C29+1)*C30/C32*2</f>
        <v>14</v>
      </c>
      <c r="D47" s="174">
        <f>(D29+1)*D30/D32*2</f>
        <v>28</v>
      </c>
      <c r="E47" s="174">
        <f>(E29+1)*E30/E32*2</f>
        <v>42</v>
      </c>
      <c r="F47" s="174">
        <f>(F29+1)*F30/F32*2</f>
        <v>56</v>
      </c>
      <c r="G47" s="175">
        <f>(G29+1)*G30/G32*2</f>
        <v>70</v>
      </c>
    </row>
    <row r="48" spans="1:35">
      <c r="A48" s="548" t="s">
        <v>100</v>
      </c>
      <c r="B48" s="177" t="s">
        <v>93</v>
      </c>
      <c r="C48" s="178">
        <f>C36*C8+C42*C7</f>
        <v>22</v>
      </c>
      <c r="D48" s="169">
        <f>D36*D8+D42*D7</f>
        <v>42</v>
      </c>
      <c r="E48" s="169">
        <f>E36*E8+E42*E7</f>
        <v>62</v>
      </c>
      <c r="F48" s="169">
        <f>F36*F8+F42*F7</f>
        <v>82</v>
      </c>
      <c r="G48" s="170">
        <f>G36*G8+G42*G7</f>
        <v>102</v>
      </c>
    </row>
    <row r="49" spans="1:7">
      <c r="A49" s="549"/>
      <c r="B49" s="179" t="s">
        <v>94</v>
      </c>
      <c r="C49" s="156">
        <f>C37*C13+C43*C12</f>
        <v>38</v>
      </c>
      <c r="D49" s="157">
        <f>D37*D13+D43*D12</f>
        <v>70</v>
      </c>
      <c r="E49" s="157">
        <f>E37*E13+E43*E12</f>
        <v>102</v>
      </c>
      <c r="F49" s="157">
        <f>F37*F13+F43*F12</f>
        <v>134</v>
      </c>
      <c r="G49" s="158">
        <f>G37*G13+G43*G12</f>
        <v>166</v>
      </c>
    </row>
    <row r="50" spans="1:7">
      <c r="A50" s="549"/>
      <c r="B50" s="179" t="s">
        <v>95</v>
      </c>
      <c r="C50" s="156">
        <f>C38*C18+C44*C17</f>
        <v>52</v>
      </c>
      <c r="D50" s="157">
        <f>D38*D18+D44*D17</f>
        <v>96</v>
      </c>
      <c r="E50" s="157">
        <f>E38*E18+E44*E17</f>
        <v>140</v>
      </c>
      <c r="F50" s="157">
        <f>F38*F18+F44*F17</f>
        <v>184</v>
      </c>
      <c r="G50" s="158">
        <f>G38*G18+G44*G17</f>
        <v>228</v>
      </c>
    </row>
    <row r="51" spans="1:7">
      <c r="A51" s="549"/>
      <c r="B51" s="179" t="s">
        <v>96</v>
      </c>
      <c r="C51" s="156">
        <f>C39*C23+C45*C22</f>
        <v>68</v>
      </c>
      <c r="D51" s="157">
        <f>D39*D23+D45*D22</f>
        <v>124</v>
      </c>
      <c r="E51" s="157">
        <f>E39*E23+E45*E22</f>
        <v>180</v>
      </c>
      <c r="F51" s="157">
        <f>F39*F23+F45*F22</f>
        <v>236</v>
      </c>
      <c r="G51" s="158">
        <f>G39*G23+G45*G22</f>
        <v>292</v>
      </c>
    </row>
    <row r="52" spans="1:7">
      <c r="A52" s="549"/>
      <c r="B52" s="179" t="s">
        <v>97</v>
      </c>
      <c r="C52" s="156">
        <f>C40*C28+C46*C27</f>
        <v>82</v>
      </c>
      <c r="D52" s="157">
        <f>D40*D28+D46*D27</f>
        <v>150</v>
      </c>
      <c r="E52" s="157">
        <f>E40*E28+E46*E27</f>
        <v>218</v>
      </c>
      <c r="F52" s="157">
        <f>F40*F28+F46*F27</f>
        <v>286</v>
      </c>
      <c r="G52" s="158">
        <f>G40*G28+G46*G27</f>
        <v>354</v>
      </c>
    </row>
    <row r="53" spans="1:7" ht="15.75" thickBot="1">
      <c r="A53" s="549"/>
      <c r="B53" s="180" t="s">
        <v>98</v>
      </c>
      <c r="C53" s="156">
        <f>C41*C33+C47*C32</f>
        <v>98</v>
      </c>
      <c r="D53" s="157">
        <f>D41*D33+D47*D32</f>
        <v>178</v>
      </c>
      <c r="E53" s="157">
        <f>E41*E33+E47*E32</f>
        <v>258</v>
      </c>
      <c r="F53" s="157">
        <f>F41*F33+F47*F32</f>
        <v>338</v>
      </c>
      <c r="G53" s="158">
        <f>G41*G33+G47*G32</f>
        <v>418</v>
      </c>
    </row>
    <row r="54" spans="1:7">
      <c r="A54" s="537" t="s">
        <v>101</v>
      </c>
      <c r="B54" s="182" t="s">
        <v>93</v>
      </c>
      <c r="C54" s="178">
        <f>2*C36*2</f>
        <v>12</v>
      </c>
      <c r="D54" s="169">
        <f>2*D36*2</f>
        <v>20</v>
      </c>
      <c r="E54" s="169">
        <f>2*E36*2</f>
        <v>28</v>
      </c>
      <c r="F54" s="169">
        <f>2*F36*2</f>
        <v>36</v>
      </c>
      <c r="G54" s="170">
        <f>2*G36*2</f>
        <v>44</v>
      </c>
    </row>
    <row r="55" spans="1:7">
      <c r="A55" s="538"/>
      <c r="B55" s="183" t="s">
        <v>94</v>
      </c>
      <c r="C55" s="156">
        <f t="shared" ref="C55:G59" si="1">2*C37*2</f>
        <v>28</v>
      </c>
      <c r="D55" s="157">
        <f t="shared" si="1"/>
        <v>44</v>
      </c>
      <c r="E55" s="157">
        <f t="shared" si="1"/>
        <v>60</v>
      </c>
      <c r="F55" s="157">
        <f t="shared" si="1"/>
        <v>76</v>
      </c>
      <c r="G55" s="158">
        <f t="shared" si="1"/>
        <v>92</v>
      </c>
    </row>
    <row r="56" spans="1:7">
      <c r="A56" s="538"/>
      <c r="B56" s="183" t="s">
        <v>95</v>
      </c>
      <c r="C56" s="156">
        <f t="shared" si="1"/>
        <v>40</v>
      </c>
      <c r="D56" s="157">
        <f t="shared" si="1"/>
        <v>64</v>
      </c>
      <c r="E56" s="157">
        <f t="shared" si="1"/>
        <v>88</v>
      </c>
      <c r="F56" s="157">
        <f t="shared" si="1"/>
        <v>112</v>
      </c>
      <c r="G56" s="158">
        <f t="shared" si="1"/>
        <v>136</v>
      </c>
    </row>
    <row r="57" spans="1:7">
      <c r="A57" s="538"/>
      <c r="B57" s="183" t="s">
        <v>96</v>
      </c>
      <c r="C57" s="156">
        <f t="shared" si="1"/>
        <v>56</v>
      </c>
      <c r="D57" s="157">
        <f t="shared" si="1"/>
        <v>88</v>
      </c>
      <c r="E57" s="157">
        <f t="shared" si="1"/>
        <v>120</v>
      </c>
      <c r="F57" s="157">
        <f t="shared" si="1"/>
        <v>152</v>
      </c>
      <c r="G57" s="158">
        <f t="shared" si="1"/>
        <v>184</v>
      </c>
    </row>
    <row r="58" spans="1:7">
      <c r="A58" s="538"/>
      <c r="B58" s="183" t="s">
        <v>97</v>
      </c>
      <c r="C58" s="156">
        <f t="shared" si="1"/>
        <v>68</v>
      </c>
      <c r="D58" s="157">
        <f t="shared" si="1"/>
        <v>108</v>
      </c>
      <c r="E58" s="157">
        <f t="shared" si="1"/>
        <v>148</v>
      </c>
      <c r="F58" s="157">
        <f t="shared" si="1"/>
        <v>188</v>
      </c>
      <c r="G58" s="158">
        <f t="shared" si="1"/>
        <v>228</v>
      </c>
    </row>
    <row r="59" spans="1:7" ht="15.75" thickBot="1">
      <c r="A59" s="539"/>
      <c r="B59" s="184" t="s">
        <v>98</v>
      </c>
      <c r="C59" s="181">
        <f t="shared" si="1"/>
        <v>84</v>
      </c>
      <c r="D59" s="174">
        <f t="shared" si="1"/>
        <v>132</v>
      </c>
      <c r="E59" s="174">
        <f t="shared" si="1"/>
        <v>180</v>
      </c>
      <c r="F59" s="174">
        <f t="shared" si="1"/>
        <v>228</v>
      </c>
      <c r="G59" s="175">
        <f t="shared" si="1"/>
        <v>276</v>
      </c>
    </row>
  </sheetData>
  <mergeCells count="21">
    <mergeCell ref="A1:P1"/>
    <mergeCell ref="T40:U40"/>
    <mergeCell ref="S1:AH2"/>
    <mergeCell ref="T41:U41"/>
    <mergeCell ref="V41:AI41"/>
    <mergeCell ref="B3:G3"/>
    <mergeCell ref="A36:A41"/>
    <mergeCell ref="T15:Z16"/>
    <mergeCell ref="A54:A59"/>
    <mergeCell ref="T43:U43"/>
    <mergeCell ref="T44:U44"/>
    <mergeCell ref="V44:AI44"/>
    <mergeCell ref="V43:AI43"/>
    <mergeCell ref="A48:A53"/>
    <mergeCell ref="A42:A47"/>
    <mergeCell ref="T42:U42"/>
    <mergeCell ref="T38:AI39"/>
    <mergeCell ref="V40:AI40"/>
    <mergeCell ref="V42:AI42"/>
    <mergeCell ref="T31:Z32"/>
    <mergeCell ref="U5:Z6"/>
  </mergeCells>
  <phoneticPr fontId="2"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dimension ref="B2:D18"/>
  <sheetViews>
    <sheetView workbookViewId="0">
      <selection activeCell="C15" sqref="C15"/>
    </sheetView>
  </sheetViews>
  <sheetFormatPr defaultRowHeight="15"/>
  <cols>
    <col min="2" max="2" width="5.28515625" customWidth="1"/>
    <col min="3" max="3" width="59" customWidth="1"/>
    <col min="4" max="4" width="20.42578125" customWidth="1"/>
  </cols>
  <sheetData>
    <row r="2" spans="2:4">
      <c r="C2" s="330" t="s">
        <v>10</v>
      </c>
      <c r="D2" s="331" t="s">
        <v>334</v>
      </c>
    </row>
    <row r="4" spans="2:4">
      <c r="B4" s="2">
        <v>1</v>
      </c>
      <c r="C4" t="s">
        <v>0</v>
      </c>
      <c r="D4" s="268" t="s">
        <v>335</v>
      </c>
    </row>
    <row r="5" spans="2:4">
      <c r="B5" s="317">
        <v>2</v>
      </c>
      <c r="C5" t="s">
        <v>300</v>
      </c>
      <c r="D5" s="268" t="s">
        <v>336</v>
      </c>
    </row>
    <row r="6" spans="2:4">
      <c r="B6" s="317">
        <v>3</v>
      </c>
      <c r="C6" t="s">
        <v>1</v>
      </c>
      <c r="D6" s="268" t="s">
        <v>337</v>
      </c>
    </row>
    <row r="7" spans="2:4">
      <c r="B7" s="317">
        <v>4</v>
      </c>
      <c r="C7" t="s">
        <v>2</v>
      </c>
      <c r="D7" s="268" t="s">
        <v>338</v>
      </c>
    </row>
    <row r="8" spans="2:4">
      <c r="B8" s="317">
        <v>5</v>
      </c>
      <c r="C8" t="s">
        <v>3</v>
      </c>
      <c r="D8" s="268" t="s">
        <v>339</v>
      </c>
    </row>
    <row r="9" spans="2:4">
      <c r="B9" s="2">
        <v>6</v>
      </c>
      <c r="C9" t="s">
        <v>7</v>
      </c>
      <c r="D9" s="268" t="s">
        <v>340</v>
      </c>
    </row>
    <row r="10" spans="2:4">
      <c r="B10" s="317">
        <v>7</v>
      </c>
      <c r="C10" t="s">
        <v>8</v>
      </c>
      <c r="D10" s="268" t="s">
        <v>341</v>
      </c>
    </row>
    <row r="11" spans="2:4" ht="30.6" customHeight="1">
      <c r="B11" s="317">
        <v>8</v>
      </c>
      <c r="C11" s="256" t="s">
        <v>332</v>
      </c>
      <c r="D11" s="329" t="s">
        <v>342</v>
      </c>
    </row>
    <row r="12" spans="2:4" ht="30.6" customHeight="1">
      <c r="B12" s="317">
        <v>9</v>
      </c>
      <c r="C12" s="256" t="s">
        <v>274</v>
      </c>
      <c r="D12" s="332" t="s">
        <v>343</v>
      </c>
    </row>
    <row r="13" spans="2:4" ht="30.6" customHeight="1">
      <c r="B13" s="317">
        <v>10</v>
      </c>
      <c r="C13" s="256" t="s">
        <v>275</v>
      </c>
      <c r="D13" s="332" t="s">
        <v>344</v>
      </c>
    </row>
    <row r="14" spans="2:4" ht="30.6" customHeight="1">
      <c r="B14" s="2">
        <v>11</v>
      </c>
      <c r="C14" s="256" t="s">
        <v>276</v>
      </c>
      <c r="D14" s="332" t="s">
        <v>345</v>
      </c>
    </row>
    <row r="15" spans="2:4" ht="30.6" customHeight="1">
      <c r="B15" s="317">
        <v>12</v>
      </c>
      <c r="C15" s="256" t="s">
        <v>277</v>
      </c>
      <c r="D15" s="332" t="s">
        <v>344</v>
      </c>
    </row>
    <row r="16" spans="2:4">
      <c r="B16" s="317">
        <v>13</v>
      </c>
      <c r="C16" t="s">
        <v>4</v>
      </c>
      <c r="D16" s="268" t="s">
        <v>346</v>
      </c>
    </row>
    <row r="17" spans="2:4">
      <c r="B17" s="317">
        <v>14</v>
      </c>
      <c r="C17" t="s">
        <v>5</v>
      </c>
      <c r="D17" s="268" t="s">
        <v>347</v>
      </c>
    </row>
    <row r="18" spans="2:4">
      <c r="B18" s="51"/>
    </row>
  </sheetData>
  <phoneticPr fontId="2"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A1:M37"/>
  <sheetViews>
    <sheetView topLeftCell="A19" zoomScale="85" workbookViewId="0">
      <selection activeCell="D18" sqref="D18"/>
    </sheetView>
  </sheetViews>
  <sheetFormatPr defaultRowHeight="15"/>
  <cols>
    <col min="1" max="1" width="7.42578125" bestFit="1" customWidth="1"/>
    <col min="2" max="2" width="51.28515625" customWidth="1"/>
    <col min="3" max="3" width="10.5703125" customWidth="1"/>
    <col min="4" max="4" width="12.5703125" bestFit="1" customWidth="1"/>
    <col min="5" max="5" width="15.42578125" customWidth="1"/>
    <col min="6" max="6" width="53.28515625" customWidth="1"/>
    <col min="7" max="7" width="13.28515625" customWidth="1"/>
    <col min="9" max="9" width="18.28515625" customWidth="1"/>
  </cols>
  <sheetData>
    <row r="1" spans="1:9">
      <c r="A1" s="252" t="s">
        <v>201</v>
      </c>
    </row>
    <row r="3" spans="1:9">
      <c r="A3" s="286" t="s">
        <v>287</v>
      </c>
      <c r="F3" s="270"/>
      <c r="G3" s="270"/>
      <c r="H3" s="270"/>
    </row>
    <row r="4" spans="1:9">
      <c r="A4" s="75"/>
      <c r="F4" s="270"/>
      <c r="G4" s="270"/>
      <c r="H4" s="270"/>
    </row>
    <row r="5" spans="1:9">
      <c r="C5" s="4"/>
      <c r="D5" s="75" t="s">
        <v>288</v>
      </c>
      <c r="G5" s="270"/>
      <c r="H5" s="270"/>
    </row>
    <row r="8" spans="1:9" ht="40.5" customHeight="1">
      <c r="B8" s="5"/>
      <c r="C8" s="5"/>
      <c r="D8" s="5"/>
      <c r="E8" s="352" t="s">
        <v>142</v>
      </c>
      <c r="F8" s="237"/>
      <c r="G8" s="237"/>
      <c r="H8" s="238"/>
      <c r="I8" s="375" t="s">
        <v>143</v>
      </c>
    </row>
    <row r="9" spans="1:9" ht="18">
      <c r="A9" s="232" t="s">
        <v>138</v>
      </c>
      <c r="B9" s="233" t="s">
        <v>129</v>
      </c>
      <c r="C9" s="361" t="s">
        <v>355</v>
      </c>
      <c r="D9" s="365">
        <v>700</v>
      </c>
      <c r="E9" s="357" t="s">
        <v>354</v>
      </c>
      <c r="F9" s="235" t="s">
        <v>147</v>
      </c>
      <c r="G9" s="366" t="s">
        <v>362</v>
      </c>
      <c r="H9" s="367">
        <f>3.14/4*0.25*0.25</f>
        <v>4.9062500000000002E-2</v>
      </c>
      <c r="I9" s="366" t="s">
        <v>361</v>
      </c>
    </row>
    <row r="10" spans="1:9" ht="18">
      <c r="B10" s="233" t="s">
        <v>130</v>
      </c>
      <c r="C10" s="358" t="s">
        <v>353</v>
      </c>
      <c r="D10" s="365">
        <v>1900</v>
      </c>
      <c r="E10" s="357" t="s">
        <v>354</v>
      </c>
      <c r="F10" s="235" t="s">
        <v>148</v>
      </c>
      <c r="G10" s="366"/>
      <c r="H10" s="366">
        <f>D13/D14/2</f>
        <v>4</v>
      </c>
      <c r="I10" s="366" t="s">
        <v>149</v>
      </c>
    </row>
    <row r="11" spans="1:9" ht="18">
      <c r="B11" s="233" t="s">
        <v>133</v>
      </c>
      <c r="C11" s="358" t="s">
        <v>356</v>
      </c>
      <c r="D11" s="365">
        <v>1000</v>
      </c>
      <c r="E11" s="357" t="s">
        <v>354</v>
      </c>
      <c r="F11" s="235" t="s">
        <v>146</v>
      </c>
      <c r="G11" s="366" t="s">
        <v>9</v>
      </c>
      <c r="H11" s="366">
        <f>(H10+1)*(D15/D20)*2</f>
        <v>30</v>
      </c>
      <c r="I11" s="366" t="s">
        <v>149</v>
      </c>
    </row>
    <row r="12" spans="1:9">
      <c r="B12" s="233" t="s">
        <v>137</v>
      </c>
      <c r="C12" s="364" t="s">
        <v>134</v>
      </c>
      <c r="D12" s="365">
        <v>2.1</v>
      </c>
      <c r="E12" s="357" t="s">
        <v>13</v>
      </c>
      <c r="F12" s="235" t="s">
        <v>139</v>
      </c>
      <c r="G12" s="366"/>
      <c r="H12" s="366">
        <f>2*(D15/D22)+2*(D15/D22-1)</f>
        <v>30</v>
      </c>
      <c r="I12" s="366" t="s">
        <v>149</v>
      </c>
    </row>
    <row r="13" spans="1:9">
      <c r="B13" s="233" t="s">
        <v>131</v>
      </c>
      <c r="C13" s="364" t="s">
        <v>124</v>
      </c>
      <c r="D13" s="365">
        <v>2</v>
      </c>
      <c r="E13" s="357" t="s">
        <v>13</v>
      </c>
      <c r="F13" s="235" t="s">
        <v>151</v>
      </c>
      <c r="G13" s="366"/>
      <c r="H13" s="366">
        <f>H11*D21+D20*H12</f>
        <v>195</v>
      </c>
      <c r="I13" s="366" t="s">
        <v>13</v>
      </c>
    </row>
    <row r="14" spans="1:9" ht="17.25">
      <c r="B14" s="233" t="s">
        <v>140</v>
      </c>
      <c r="C14" s="364" t="s">
        <v>141</v>
      </c>
      <c r="D14" s="365">
        <v>0.25</v>
      </c>
      <c r="E14" s="357" t="s">
        <v>13</v>
      </c>
      <c r="F14" s="235" t="s">
        <v>154</v>
      </c>
      <c r="G14" s="366"/>
      <c r="H14" s="367">
        <f>H9*H13</f>
        <v>9.5671875000000011</v>
      </c>
      <c r="I14" s="366" t="s">
        <v>361</v>
      </c>
    </row>
    <row r="15" spans="1:9" ht="18">
      <c r="B15" s="233" t="s">
        <v>144</v>
      </c>
      <c r="C15" s="364" t="s">
        <v>145</v>
      </c>
      <c r="D15" s="365">
        <v>12</v>
      </c>
      <c r="E15" s="357" t="s">
        <v>13</v>
      </c>
      <c r="F15" s="235" t="s">
        <v>155</v>
      </c>
      <c r="G15" s="366" t="s">
        <v>363</v>
      </c>
      <c r="H15" s="367">
        <f>H14/(D15)</f>
        <v>0.79726562500000009</v>
      </c>
      <c r="I15" s="366" t="s">
        <v>361</v>
      </c>
    </row>
    <row r="16" spans="1:9" ht="18">
      <c r="B16" s="233" t="s">
        <v>188</v>
      </c>
      <c r="C16" s="362" t="s">
        <v>357</v>
      </c>
      <c r="D16" s="365">
        <v>33</v>
      </c>
      <c r="E16" s="357" t="s">
        <v>20</v>
      </c>
      <c r="F16" s="235" t="s">
        <v>157</v>
      </c>
      <c r="G16" s="366" t="s">
        <v>364</v>
      </c>
      <c r="H16" s="368">
        <f>H15*D9</f>
        <v>558.08593750000011</v>
      </c>
      <c r="I16" s="366" t="s">
        <v>19</v>
      </c>
    </row>
    <row r="17" spans="2:13">
      <c r="B17" s="233" t="s">
        <v>161</v>
      </c>
      <c r="C17" s="363" t="s">
        <v>261</v>
      </c>
      <c r="D17" s="365">
        <v>150</v>
      </c>
      <c r="E17" s="357" t="s">
        <v>128</v>
      </c>
      <c r="F17" s="235" t="s">
        <v>158</v>
      </c>
      <c r="G17" s="366"/>
      <c r="H17" s="369">
        <f>H15*D9*D15</f>
        <v>6697.0312500000018</v>
      </c>
      <c r="I17" s="366" t="s">
        <v>19</v>
      </c>
    </row>
    <row r="18" spans="2:13" ht="17.25">
      <c r="B18" s="233" t="s">
        <v>135</v>
      </c>
      <c r="C18" s="358" t="s">
        <v>126</v>
      </c>
      <c r="D18" s="365">
        <v>10</v>
      </c>
      <c r="E18" s="357" t="s">
        <v>20</v>
      </c>
      <c r="F18" s="235" t="s">
        <v>156</v>
      </c>
      <c r="G18" s="366"/>
      <c r="H18" s="369">
        <f>D12*D13*1</f>
        <v>4.2</v>
      </c>
      <c r="I18" s="366" t="s">
        <v>361</v>
      </c>
    </row>
    <row r="19" spans="2:13" ht="18">
      <c r="B19" s="233" t="s">
        <v>136</v>
      </c>
      <c r="C19" s="358" t="s">
        <v>127</v>
      </c>
      <c r="D19" s="365">
        <v>30</v>
      </c>
      <c r="E19" s="357" t="s">
        <v>20</v>
      </c>
      <c r="F19" s="241" t="s">
        <v>165</v>
      </c>
      <c r="G19" s="370" t="s">
        <v>365</v>
      </c>
      <c r="H19" s="371">
        <f>H18-H15</f>
        <v>3.4027343750000001</v>
      </c>
      <c r="I19" s="366" t="s">
        <v>361</v>
      </c>
      <c r="J19" s="240"/>
      <c r="K19" s="240"/>
      <c r="L19" s="240"/>
      <c r="M19" s="240"/>
    </row>
    <row r="20" spans="2:13" ht="18">
      <c r="B20" s="233" t="s">
        <v>152</v>
      </c>
      <c r="C20" s="363" t="s">
        <v>360</v>
      </c>
      <c r="D20" s="365">
        <v>4</v>
      </c>
      <c r="E20" s="357" t="s">
        <v>13</v>
      </c>
      <c r="F20" s="235" t="s">
        <v>159</v>
      </c>
      <c r="G20" s="366" t="s">
        <v>366</v>
      </c>
      <c r="H20" s="368">
        <f>H19*D10</f>
        <v>6465.1953125</v>
      </c>
      <c r="I20" s="366" t="s">
        <v>19</v>
      </c>
      <c r="J20" s="242"/>
      <c r="K20" s="242"/>
      <c r="L20" s="240"/>
      <c r="M20" s="240"/>
    </row>
    <row r="21" spans="2:13" ht="18">
      <c r="B21" s="233" t="s">
        <v>153</v>
      </c>
      <c r="C21" s="363" t="s">
        <v>359</v>
      </c>
      <c r="D21" s="365">
        <v>2.5</v>
      </c>
      <c r="E21" s="357" t="s">
        <v>13</v>
      </c>
      <c r="F21" s="235" t="s">
        <v>160</v>
      </c>
      <c r="G21" s="366" t="s">
        <v>367</v>
      </c>
      <c r="H21" s="369">
        <f>H20+H16</f>
        <v>7023.28125</v>
      </c>
      <c r="I21" s="366" t="s">
        <v>19</v>
      </c>
      <c r="J21" s="243"/>
      <c r="K21" s="243"/>
      <c r="L21" s="240"/>
      <c r="M21" s="240"/>
    </row>
    <row r="22" spans="2:13" ht="18">
      <c r="B22" s="233" t="s">
        <v>150</v>
      </c>
      <c r="C22" s="363" t="s">
        <v>358</v>
      </c>
      <c r="D22" s="365">
        <v>1.5</v>
      </c>
      <c r="E22" s="357" t="s">
        <v>13</v>
      </c>
      <c r="F22" s="235" t="s">
        <v>162</v>
      </c>
      <c r="G22" s="366" t="s">
        <v>368</v>
      </c>
      <c r="H22" s="372">
        <f>I31/(1+SQRT((H33*H35)/H37))^2</f>
        <v>0.50393316725040549</v>
      </c>
      <c r="I22" s="366" t="s">
        <v>149</v>
      </c>
      <c r="J22" s="243"/>
      <c r="K22" s="243"/>
      <c r="L22" s="240"/>
      <c r="M22" s="240"/>
    </row>
    <row r="23" spans="2:13" ht="18">
      <c r="F23" s="241" t="s">
        <v>163</v>
      </c>
      <c r="G23" s="366" t="s">
        <v>369</v>
      </c>
      <c r="H23" s="369">
        <f>0.5*D10*D13*D13*H22-(2*D17)*D13*POWER(0.5,H22)</f>
        <v>1491.8370473651275</v>
      </c>
      <c r="I23" s="366" t="s">
        <v>379</v>
      </c>
      <c r="J23" s="242"/>
      <c r="K23" s="242"/>
      <c r="L23" s="240"/>
      <c r="M23" s="240"/>
    </row>
    <row r="24" spans="2:13">
      <c r="F24" s="236" t="s">
        <v>9</v>
      </c>
      <c r="G24" s="366"/>
      <c r="H24" s="372"/>
      <c r="I24" s="366"/>
      <c r="J24" s="242"/>
      <c r="K24" s="242"/>
      <c r="L24" s="240"/>
      <c r="M24" s="240"/>
    </row>
    <row r="25" spans="2:13">
      <c r="F25" s="235" t="s">
        <v>9</v>
      </c>
      <c r="G25" s="366"/>
      <c r="H25" s="366"/>
      <c r="I25" s="366"/>
      <c r="J25" s="244"/>
      <c r="K25" s="244"/>
    </row>
    <row r="26" spans="2:13">
      <c r="F26" s="235"/>
      <c r="G26" s="366"/>
      <c r="H26" s="367"/>
      <c r="I26" s="366"/>
      <c r="J26" s="244"/>
      <c r="K26" s="244"/>
    </row>
    <row r="27" spans="2:13">
      <c r="F27" s="235"/>
      <c r="G27" s="366"/>
      <c r="H27" s="367"/>
      <c r="I27" s="366"/>
    </row>
    <row r="28" spans="2:13">
      <c r="F28" s="235"/>
      <c r="G28" s="366"/>
      <c r="H28" s="366"/>
      <c r="I28" s="366"/>
    </row>
    <row r="29" spans="2:13">
      <c r="F29" t="s">
        <v>164</v>
      </c>
      <c r="G29" s="373"/>
      <c r="H29" s="373"/>
      <c r="I29" s="373"/>
    </row>
    <row r="30" spans="2:13">
      <c r="F30" s="246" t="s">
        <v>357</v>
      </c>
      <c r="G30" s="366" t="s">
        <v>372</v>
      </c>
      <c r="H30" s="366" t="s">
        <v>377</v>
      </c>
      <c r="I30" s="366" t="s">
        <v>378</v>
      </c>
    </row>
    <row r="31" spans="2:13" ht="14.25" customHeight="1">
      <c r="F31" s="245">
        <v>33</v>
      </c>
      <c r="G31" s="374">
        <f>RADIANS($F$31)</f>
        <v>0.57595865315812877</v>
      </c>
      <c r="H31" s="374">
        <f>COS($G$31)</f>
        <v>0.83867056794542405</v>
      </c>
      <c r="I31" s="374">
        <f>POWER($H$31,2)</f>
        <v>0.70336832153790019</v>
      </c>
    </row>
    <row r="32" spans="2:13">
      <c r="F32" s="246" t="str">
        <f>C16</f>
        <v>j</v>
      </c>
      <c r="G32" s="366" t="s">
        <v>372</v>
      </c>
      <c r="H32" s="366" t="s">
        <v>373</v>
      </c>
      <c r="I32" s="366" t="s">
        <v>9</v>
      </c>
    </row>
    <row r="33" spans="6:9">
      <c r="F33" s="245">
        <v>33</v>
      </c>
      <c r="G33" s="374">
        <f>RADIANS($F$33)</f>
        <v>0.57595865315812877</v>
      </c>
      <c r="H33" s="374">
        <f>SIN($G$33)</f>
        <v>0.54463903501502708</v>
      </c>
      <c r="I33" s="366" t="s">
        <v>9</v>
      </c>
    </row>
    <row r="34" spans="6:9">
      <c r="F34" s="246" t="s">
        <v>374</v>
      </c>
      <c r="G34" s="366" t="s">
        <v>375</v>
      </c>
      <c r="H34" s="366" t="s">
        <v>376</v>
      </c>
      <c r="I34" s="366" t="s">
        <v>9</v>
      </c>
    </row>
    <row r="35" spans="6:9">
      <c r="F35" s="245">
        <f>D16-D19</f>
        <v>3</v>
      </c>
      <c r="G35" s="374">
        <f>RADIANS($F$35)</f>
        <v>5.235987755982989E-2</v>
      </c>
      <c r="H35" s="374">
        <f>SIN($G$35)</f>
        <v>5.2335956242943835E-2</v>
      </c>
      <c r="I35" s="366" t="s">
        <v>9</v>
      </c>
    </row>
    <row r="36" spans="6:9">
      <c r="F36" s="247" t="s">
        <v>127</v>
      </c>
      <c r="G36" s="366" t="s">
        <v>370</v>
      </c>
      <c r="H36" s="366" t="s">
        <v>371</v>
      </c>
      <c r="I36" s="366"/>
    </row>
    <row r="37" spans="6:9">
      <c r="F37" s="245">
        <v>30</v>
      </c>
      <c r="G37" s="374">
        <f>RADIANS($F$37)</f>
        <v>0.52359877559829882</v>
      </c>
      <c r="H37" s="374">
        <f>COS($G$37)</f>
        <v>0.86602540378443871</v>
      </c>
      <c r="I37" s="366"/>
    </row>
  </sheetData>
  <phoneticPr fontId="2" type="noConversion"/>
  <pageMargins left="0.7" right="0.7"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dimension ref="A1:R86"/>
  <sheetViews>
    <sheetView topLeftCell="A30" workbookViewId="0">
      <selection activeCell="E84" sqref="E84"/>
    </sheetView>
  </sheetViews>
  <sheetFormatPr defaultRowHeight="15"/>
  <cols>
    <col min="1" max="1" width="44.5703125" style="270" customWidth="1"/>
    <col min="2" max="2" width="10.85546875" style="270" bestFit="1" customWidth="1"/>
    <col min="3" max="3" width="14.5703125" style="270" bestFit="1" customWidth="1"/>
    <col min="4" max="8" width="9.140625" style="270"/>
    <col min="9" max="9" width="13.85546875" style="270" customWidth="1"/>
    <col min="10" max="10" width="5.7109375" style="275" customWidth="1"/>
    <col min="11" max="11" width="6.28515625" style="270" customWidth="1"/>
    <col min="12" max="16384" width="9.140625" style="270"/>
  </cols>
  <sheetData>
    <row r="1" spans="1:7">
      <c r="A1" s="269" t="s">
        <v>0</v>
      </c>
    </row>
    <row r="2" spans="1:7">
      <c r="A2" s="287"/>
    </row>
    <row r="4" spans="1:7">
      <c r="A4" s="286" t="s">
        <v>287</v>
      </c>
      <c r="B4"/>
      <c r="C4"/>
      <c r="D4"/>
      <c r="E4"/>
    </row>
    <row r="5" spans="1:7">
      <c r="A5" s="75"/>
      <c r="B5"/>
      <c r="C5"/>
      <c r="D5"/>
      <c r="E5"/>
    </row>
    <row r="6" spans="1:7">
      <c r="A6"/>
      <c r="B6"/>
      <c r="C6"/>
      <c r="D6"/>
      <c r="E6" s="4"/>
      <c r="F6" s="75" t="s">
        <v>288</v>
      </c>
    </row>
    <row r="7" spans="1:7">
      <c r="A7"/>
      <c r="B7"/>
      <c r="C7"/>
      <c r="D7"/>
      <c r="E7"/>
      <c r="F7" s="75"/>
    </row>
    <row r="8" spans="1:7">
      <c r="A8"/>
      <c r="B8"/>
      <c r="C8"/>
      <c r="D8"/>
      <c r="E8"/>
      <c r="F8" s="75"/>
    </row>
    <row r="9" spans="1:7">
      <c r="A9" s="272" t="s">
        <v>135</v>
      </c>
      <c r="B9" s="376" t="s">
        <v>126</v>
      </c>
      <c r="C9" s="379">
        <v>10</v>
      </c>
      <c r="D9" s="273" t="s">
        <v>20</v>
      </c>
      <c r="E9"/>
      <c r="G9" s="271"/>
    </row>
    <row r="10" spans="1:7">
      <c r="A10" s="272" t="s">
        <v>136</v>
      </c>
      <c r="B10" s="376" t="s">
        <v>127</v>
      </c>
      <c r="C10" s="379">
        <v>30</v>
      </c>
      <c r="D10" s="273" t="s">
        <v>20</v>
      </c>
    </row>
    <row r="11" spans="1:7">
      <c r="A11" s="272" t="s">
        <v>188</v>
      </c>
      <c r="B11" s="362" t="s">
        <v>357</v>
      </c>
      <c r="C11" s="379">
        <v>33</v>
      </c>
      <c r="D11" s="273" t="s">
        <v>20</v>
      </c>
    </row>
    <row r="12" spans="1:7">
      <c r="A12" s="272" t="s">
        <v>189</v>
      </c>
      <c r="B12" s="377" t="s">
        <v>190</v>
      </c>
      <c r="C12" s="379">
        <v>15</v>
      </c>
      <c r="D12" s="273" t="s">
        <v>20</v>
      </c>
    </row>
    <row r="13" spans="1:7" ht="18.75">
      <c r="A13" s="272" t="s">
        <v>130</v>
      </c>
      <c r="B13" s="376" t="s">
        <v>353</v>
      </c>
      <c r="C13" s="379">
        <v>1900</v>
      </c>
      <c r="D13" s="274" t="s">
        <v>454</v>
      </c>
    </row>
    <row r="14" spans="1:7">
      <c r="A14" s="272" t="s">
        <v>191</v>
      </c>
      <c r="B14" s="377" t="s">
        <v>124</v>
      </c>
      <c r="C14" s="379">
        <v>3</v>
      </c>
      <c r="D14" s="273" t="s">
        <v>13</v>
      </c>
    </row>
    <row r="15" spans="1:7">
      <c r="A15" s="272" t="s">
        <v>250</v>
      </c>
      <c r="B15" s="378" t="s">
        <v>221</v>
      </c>
      <c r="C15" s="379">
        <v>2100</v>
      </c>
      <c r="D15" s="273" t="s">
        <v>251</v>
      </c>
    </row>
    <row r="16" spans="1:7">
      <c r="B16" s="275"/>
      <c r="C16" s="275"/>
      <c r="D16" s="275"/>
      <c r="E16" s="275"/>
      <c r="F16" s="275"/>
      <c r="G16" s="275"/>
    </row>
    <row r="17" spans="1:18">
      <c r="B17" s="275"/>
      <c r="C17" s="275"/>
      <c r="D17" s="275"/>
      <c r="E17" s="275"/>
      <c r="F17" s="275"/>
      <c r="G17" s="275"/>
    </row>
    <row r="18" spans="1:18">
      <c r="B18" s="275"/>
      <c r="C18" s="275"/>
      <c r="D18" s="275"/>
      <c r="E18" s="275"/>
      <c r="F18" s="275"/>
      <c r="G18" s="275"/>
    </row>
    <row r="19" spans="1:18">
      <c r="B19" s="275"/>
      <c r="C19" s="275"/>
      <c r="D19" s="275"/>
      <c r="E19" s="275"/>
      <c r="F19" s="275"/>
      <c r="G19" s="275"/>
    </row>
    <row r="20" spans="1:18">
      <c r="A20" s="276" t="s">
        <v>61</v>
      </c>
      <c r="B20" s="275"/>
      <c r="C20" s="353">
        <v>45</v>
      </c>
      <c r="D20" s="277" t="s">
        <v>20</v>
      </c>
      <c r="E20" s="353">
        <f>RADIANS($C$20)</f>
        <v>0.78539816339744828</v>
      </c>
      <c r="F20" s="277" t="s">
        <v>187</v>
      </c>
      <c r="G20" s="275"/>
    </row>
    <row r="21" spans="1:18">
      <c r="B21" s="277" t="s">
        <v>380</v>
      </c>
      <c r="C21" s="353">
        <f>$C$20-$C$11/2</f>
        <v>28.5</v>
      </c>
      <c r="D21" s="277" t="s">
        <v>20</v>
      </c>
      <c r="E21" s="381">
        <f>RADIANS($C$21)</f>
        <v>0.49741883681838395</v>
      </c>
      <c r="F21" s="277" t="s">
        <v>187</v>
      </c>
      <c r="G21" s="275"/>
    </row>
    <row r="22" spans="1:18">
      <c r="B22" s="277" t="s">
        <v>381</v>
      </c>
      <c r="C22" s="353">
        <f>TAN($E$21)</f>
        <v>0.54295569963843693</v>
      </c>
      <c r="D22" s="275"/>
      <c r="E22" s="275"/>
      <c r="F22" s="275"/>
      <c r="G22" s="275"/>
    </row>
    <row r="23" spans="1:18">
      <c r="B23" s="277" t="s">
        <v>382</v>
      </c>
      <c r="C23" s="353">
        <f>$C$22^2</f>
        <v>0.29480089176986451</v>
      </c>
      <c r="D23" s="275"/>
      <c r="E23" s="275"/>
      <c r="F23" s="275"/>
      <c r="G23" s="275"/>
    </row>
    <row r="24" spans="1:18">
      <c r="B24" s="275"/>
      <c r="D24" s="275"/>
      <c r="E24" s="275"/>
      <c r="F24" s="275"/>
      <c r="G24" s="275"/>
      <c r="L24" s="286"/>
      <c r="M24"/>
      <c r="N24"/>
      <c r="O24"/>
      <c r="P24"/>
      <c r="Q24"/>
      <c r="R24"/>
    </row>
    <row r="25" spans="1:18">
      <c r="B25" s="275"/>
      <c r="C25" s="275"/>
      <c r="D25" s="275"/>
      <c r="E25" s="275"/>
      <c r="F25" s="275"/>
      <c r="G25" s="275"/>
      <c r="L25" s="75"/>
      <c r="M25"/>
      <c r="N25"/>
      <c r="O25"/>
      <c r="P25"/>
      <c r="Q25"/>
      <c r="R25"/>
    </row>
    <row r="26" spans="1:18">
      <c r="B26" s="275"/>
      <c r="C26" s="277" t="s">
        <v>163</v>
      </c>
      <c r="D26" s="380">
        <f>0.5*$C$13*$C$14*$C$14*$C$23</f>
        <v>2520.5476246323415</v>
      </c>
      <c r="E26" s="277" t="s">
        <v>192</v>
      </c>
      <c r="F26" s="275"/>
      <c r="G26" s="275"/>
      <c r="L26"/>
      <c r="M26"/>
      <c r="N26"/>
      <c r="O26"/>
      <c r="Q26" s="75"/>
      <c r="R26"/>
    </row>
    <row r="27" spans="1:18">
      <c r="B27" s="275"/>
      <c r="D27" s="275"/>
      <c r="E27" s="275"/>
      <c r="F27" s="275"/>
      <c r="G27" s="275"/>
    </row>
    <row r="28" spans="1:18">
      <c r="B28" s="275"/>
      <c r="D28" s="275"/>
      <c r="E28" s="275"/>
      <c r="F28" s="275"/>
      <c r="G28" s="275"/>
    </row>
    <row r="29" spans="1:18">
      <c r="B29" s="275"/>
      <c r="C29" s="275"/>
      <c r="D29" s="275"/>
      <c r="E29" s="275"/>
      <c r="F29" s="275"/>
      <c r="G29" s="275"/>
    </row>
    <row r="30" spans="1:18">
      <c r="A30" s="276" t="s">
        <v>62</v>
      </c>
      <c r="B30" s="275"/>
      <c r="F30" s="275"/>
      <c r="G30" s="275"/>
    </row>
    <row r="31" spans="1:18">
      <c r="B31" s="275"/>
      <c r="C31" s="275"/>
      <c r="D31" s="275"/>
      <c r="E31" s="275"/>
      <c r="F31" s="275"/>
      <c r="G31" s="275"/>
    </row>
    <row r="33" spans="3:7">
      <c r="C33" s="460" t="s">
        <v>194</v>
      </c>
      <c r="D33" s="461"/>
      <c r="E33" s="462"/>
    </row>
    <row r="35" spans="3:7">
      <c r="C35" s="278" t="s">
        <v>126</v>
      </c>
      <c r="D35" s="383" t="s">
        <v>187</v>
      </c>
      <c r="E35" s="383" t="s">
        <v>196</v>
      </c>
      <c r="F35" s="383" t="s">
        <v>383</v>
      </c>
    </row>
    <row r="36" spans="3:7">
      <c r="C36" s="277">
        <f>C9</f>
        <v>10</v>
      </c>
      <c r="D36" s="383">
        <f>RADIANS($C$36)</f>
        <v>0.17453292519943295</v>
      </c>
      <c r="E36" s="383">
        <f>COS($D$36)</f>
        <v>0.98480775301220802</v>
      </c>
      <c r="F36" s="383">
        <f>$E$36^2</f>
        <v>0.9698463103929541</v>
      </c>
    </row>
    <row r="37" spans="3:7">
      <c r="C37" s="278" t="s">
        <v>384</v>
      </c>
      <c r="D37" s="383" t="s">
        <v>187</v>
      </c>
      <c r="E37" s="383" t="s">
        <v>196</v>
      </c>
      <c r="F37" s="383" t="s">
        <v>383</v>
      </c>
    </row>
    <row r="38" spans="3:7">
      <c r="C38" s="277">
        <f>C11-C9</f>
        <v>23</v>
      </c>
      <c r="D38" s="383">
        <f>RADIANS($C$38)</f>
        <v>0.4014257279586958</v>
      </c>
      <c r="E38" s="383">
        <f>COS($D$38)</f>
        <v>0.92050485345244037</v>
      </c>
      <c r="F38" s="383">
        <f>$E$38^2</f>
        <v>0.84732918522949874</v>
      </c>
    </row>
    <row r="39" spans="3:7">
      <c r="C39" s="278" t="s">
        <v>197</v>
      </c>
      <c r="D39" s="383" t="s">
        <v>187</v>
      </c>
      <c r="E39" s="383" t="s">
        <v>196</v>
      </c>
      <c r="F39" s="384"/>
    </row>
    <row r="40" spans="3:7">
      <c r="C40" s="277">
        <f>C9+C12</f>
        <v>25</v>
      </c>
      <c r="D40" s="383">
        <f>RADIANS($C$40)</f>
        <v>0.43633231299858238</v>
      </c>
      <c r="E40" s="383">
        <f>COS($D$40)</f>
        <v>0.90630778703664994</v>
      </c>
      <c r="F40" s="384"/>
    </row>
    <row r="41" spans="3:7">
      <c r="C41" s="278" t="s">
        <v>385</v>
      </c>
      <c r="D41" s="383" t="s">
        <v>187</v>
      </c>
      <c r="E41" s="383" t="s">
        <v>198</v>
      </c>
      <c r="F41" s="384"/>
    </row>
    <row r="42" spans="3:7">
      <c r="C42" s="277">
        <f>C11+C12</f>
        <v>48</v>
      </c>
      <c r="D42" s="383">
        <f>RADIANS($C$42)</f>
        <v>0.83775804095727824</v>
      </c>
      <c r="E42" s="383">
        <f>SIN($D$42)</f>
        <v>0.74314482547739424</v>
      </c>
      <c r="F42" s="384"/>
    </row>
    <row r="43" spans="3:7">
      <c r="C43" s="278" t="s">
        <v>386</v>
      </c>
      <c r="D43" s="383" t="s">
        <v>187</v>
      </c>
      <c r="E43" s="383" t="s">
        <v>198</v>
      </c>
      <c r="F43" s="384"/>
    </row>
    <row r="44" spans="3:7">
      <c r="C44" s="277">
        <f>C11-C10</f>
        <v>3</v>
      </c>
      <c r="D44" s="383">
        <f>RADIANS($C$44)</f>
        <v>5.235987755982989E-2</v>
      </c>
      <c r="E44" s="383">
        <f>SIN($D$44)</f>
        <v>5.2335956242943835E-2</v>
      </c>
      <c r="F44" s="384"/>
    </row>
    <row r="45" spans="3:7">
      <c r="C45" s="278" t="s">
        <v>199</v>
      </c>
      <c r="D45" s="383" t="s">
        <v>187</v>
      </c>
      <c r="E45" s="383" t="s">
        <v>196</v>
      </c>
      <c r="F45" s="384"/>
    </row>
    <row r="46" spans="3:7">
      <c r="C46" s="277">
        <f>C9-C10</f>
        <v>-20</v>
      </c>
      <c r="D46" s="383">
        <f>RADIANS($C$46)</f>
        <v>-0.3490658503988659</v>
      </c>
      <c r="E46" s="383">
        <f>COS($D$46)</f>
        <v>0.93969262078590843</v>
      </c>
      <c r="F46" s="384"/>
    </row>
    <row r="48" spans="3:7">
      <c r="C48" s="460" t="s">
        <v>194</v>
      </c>
      <c r="D48" s="461"/>
      <c r="E48" s="462"/>
      <c r="G48" s="353">
        <f>$F$38/($F$36*$E$40*(1+SQRT($E$42*$E$44/$E$40*$E$46))^2)</f>
        <v>0.66853286351849428</v>
      </c>
    </row>
    <row r="49" spans="3:8">
      <c r="C49" s="458" t="s">
        <v>163</v>
      </c>
      <c r="D49" s="458"/>
      <c r="E49" s="458"/>
      <c r="G49" s="380">
        <f>0.5*$C$13*$C$14*$C$14*$G$48</f>
        <v>5715.9559830831258</v>
      </c>
      <c r="H49" s="277" t="s">
        <v>192</v>
      </c>
    </row>
    <row r="52" spans="3:8">
      <c r="C52" s="460" t="s">
        <v>193</v>
      </c>
      <c r="D52" s="461"/>
      <c r="E52" s="462"/>
    </row>
    <row r="54" spans="3:8">
      <c r="C54" s="278" t="s">
        <v>388</v>
      </c>
      <c r="D54" s="353" t="s">
        <v>187</v>
      </c>
      <c r="E54" s="353" t="s">
        <v>195</v>
      </c>
      <c r="F54" s="353" t="s">
        <v>383</v>
      </c>
      <c r="G54" s="353" t="s">
        <v>198</v>
      </c>
    </row>
    <row r="55" spans="3:8">
      <c r="C55" s="277">
        <f>C11</f>
        <v>33</v>
      </c>
      <c r="D55" s="353">
        <f>RADIANS($C$55)</f>
        <v>0.57595865315812877</v>
      </c>
      <c r="E55" s="353">
        <f>COS($D$55)</f>
        <v>0.83867056794542405</v>
      </c>
      <c r="F55" s="353">
        <f>$E$55^2</f>
        <v>0.70336832153790019</v>
      </c>
      <c r="G55" s="353">
        <f>SIN($D$55)</f>
        <v>0.54463903501502708</v>
      </c>
    </row>
    <row r="56" spans="3:8">
      <c r="C56" s="278" t="s">
        <v>387</v>
      </c>
      <c r="D56" s="353" t="s">
        <v>187</v>
      </c>
      <c r="E56" s="353" t="s">
        <v>198</v>
      </c>
      <c r="F56" s="382"/>
      <c r="G56" s="382"/>
    </row>
    <row r="57" spans="3:8">
      <c r="C57" s="277">
        <f>C11-C10</f>
        <v>3</v>
      </c>
      <c r="D57" s="353">
        <f>RADIANS($C$57)</f>
        <v>5.235987755982989E-2</v>
      </c>
      <c r="E57" s="353">
        <f>SIN($D$57)</f>
        <v>5.2335956242943835E-2</v>
      </c>
      <c r="F57" s="382"/>
      <c r="G57" s="382"/>
    </row>
    <row r="58" spans="3:8">
      <c r="C58" s="279" t="s">
        <v>200</v>
      </c>
      <c r="D58" s="353" t="s">
        <v>187</v>
      </c>
      <c r="E58" s="353" t="s">
        <v>196</v>
      </c>
      <c r="F58" s="382"/>
      <c r="G58" s="382"/>
    </row>
    <row r="59" spans="3:8">
      <c r="C59" s="277">
        <f>C10</f>
        <v>30</v>
      </c>
      <c r="D59" s="353">
        <f>RADIANS($C$59)</f>
        <v>0.52359877559829882</v>
      </c>
      <c r="E59" s="353">
        <f>COS($D$59)</f>
        <v>0.86602540378443871</v>
      </c>
      <c r="F59" s="382"/>
      <c r="G59" s="382"/>
    </row>
    <row r="62" spans="3:8">
      <c r="C62" s="460" t="s">
        <v>193</v>
      </c>
      <c r="D62" s="461"/>
      <c r="E62" s="462"/>
      <c r="G62" s="353">
        <f>$F$55/(1+SQRT($G$55*$E$57/$E$59))^2</f>
        <v>0.50393316725040549</v>
      </c>
    </row>
    <row r="63" spans="3:8">
      <c r="C63" s="458" t="s">
        <v>163</v>
      </c>
      <c r="D63" s="458"/>
      <c r="E63" s="458"/>
      <c r="G63" s="380">
        <f>0.5*$C$13*$C$14*$C$14*$G$62</f>
        <v>4308.6285799909665</v>
      </c>
      <c r="H63" s="277" t="s">
        <v>192</v>
      </c>
    </row>
    <row r="67" spans="1:8">
      <c r="A67" s="276" t="s">
        <v>249</v>
      </c>
    </row>
    <row r="69" spans="1:8">
      <c r="C69" s="458" t="s">
        <v>163</v>
      </c>
      <c r="D69" s="458"/>
      <c r="E69" s="458"/>
      <c r="G69" s="385">
        <f>0.5*$C$14*$C$14*$G$62+$C$15*$C$14*$G$62</f>
        <v>3177.0466529301812</v>
      </c>
      <c r="H69" s="277" t="s">
        <v>192</v>
      </c>
    </row>
    <row r="74" spans="1:8">
      <c r="A74" s="276" t="s">
        <v>283</v>
      </c>
    </row>
    <row r="77" spans="1:8">
      <c r="B77" s="280"/>
      <c r="C77" s="280"/>
      <c r="D77" s="281"/>
      <c r="E77" s="281"/>
      <c r="F77" s="281"/>
      <c r="G77" s="281"/>
      <c r="H77" s="280"/>
    </row>
    <row r="78" spans="1:8">
      <c r="B78" s="280"/>
      <c r="C78" s="282"/>
      <c r="D78" s="283"/>
      <c r="E78" s="284"/>
      <c r="F78" s="284"/>
      <c r="G78" s="281"/>
      <c r="H78" s="280"/>
    </row>
    <row r="79" spans="1:8">
      <c r="B79" s="280"/>
      <c r="C79" s="280" t="s">
        <v>284</v>
      </c>
      <c r="D79" s="274" t="s">
        <v>285</v>
      </c>
      <c r="E79" s="386">
        <v>150</v>
      </c>
      <c r="F79" s="274" t="s">
        <v>393</v>
      </c>
      <c r="G79" s="280"/>
      <c r="H79" s="280"/>
    </row>
    <row r="80" spans="1:8">
      <c r="B80" s="280"/>
      <c r="C80" s="280"/>
      <c r="D80" s="280"/>
      <c r="E80" s="280"/>
      <c r="F80" s="280"/>
      <c r="G80" s="280"/>
      <c r="H80" s="280"/>
    </row>
    <row r="81" spans="2:11">
      <c r="B81" s="280"/>
      <c r="C81" s="280"/>
      <c r="D81" s="280"/>
      <c r="E81" s="280"/>
      <c r="F81" s="280"/>
      <c r="G81" s="280"/>
      <c r="H81" s="280"/>
    </row>
    <row r="82" spans="2:11">
      <c r="B82" s="280"/>
      <c r="C82" s="280"/>
      <c r="D82" s="280"/>
      <c r="E82" s="280"/>
      <c r="F82" s="280"/>
      <c r="G82" s="459" t="s">
        <v>391</v>
      </c>
      <c r="H82" s="459"/>
      <c r="I82" s="459"/>
      <c r="J82" s="459"/>
      <c r="K82" s="459"/>
    </row>
    <row r="83" spans="2:11" ht="15.75">
      <c r="B83" s="280"/>
      <c r="C83" s="280" t="s">
        <v>9</v>
      </c>
      <c r="D83" s="387" t="s">
        <v>389</v>
      </c>
      <c r="E83" s="388">
        <f>(2*E79)/(C13*POWER(G62,0.5))</f>
        <v>0.22242376210504652</v>
      </c>
      <c r="F83" s="285" t="s">
        <v>13</v>
      </c>
      <c r="G83" s="459"/>
      <c r="H83" s="459"/>
      <c r="I83" s="459"/>
      <c r="J83" s="459"/>
      <c r="K83" s="459"/>
    </row>
    <row r="84" spans="2:11" ht="15.75">
      <c r="B84" s="280"/>
      <c r="C84" s="280" t="s">
        <v>286</v>
      </c>
      <c r="D84" s="387" t="s">
        <v>390</v>
      </c>
      <c r="E84" s="388">
        <f>2*E83</f>
        <v>0.44484752421009305</v>
      </c>
      <c r="F84" s="285" t="s">
        <v>13</v>
      </c>
      <c r="G84" s="459"/>
      <c r="H84" s="459"/>
      <c r="I84" s="459"/>
      <c r="J84" s="459"/>
      <c r="K84" s="459"/>
    </row>
    <row r="85" spans="2:11">
      <c r="B85" s="280"/>
      <c r="C85" s="280"/>
      <c r="D85" s="280"/>
      <c r="E85" s="280"/>
      <c r="F85" s="280"/>
      <c r="G85" s="280"/>
      <c r="H85" s="280"/>
    </row>
    <row r="86" spans="2:11">
      <c r="B86" s="280"/>
      <c r="C86" s="280"/>
      <c r="D86" s="280"/>
      <c r="E86" s="280"/>
      <c r="F86" s="280"/>
      <c r="G86" s="280"/>
      <c r="H86" s="280"/>
    </row>
  </sheetData>
  <mergeCells count="8">
    <mergeCell ref="C69:E69"/>
    <mergeCell ref="G82:K84"/>
    <mergeCell ref="C33:E33"/>
    <mergeCell ref="C48:E48"/>
    <mergeCell ref="C49:E49"/>
    <mergeCell ref="C52:E52"/>
    <mergeCell ref="C62:E62"/>
    <mergeCell ref="C63:E63"/>
  </mergeCells>
  <phoneticPr fontId="2" type="noConversion"/>
  <pageMargins left="0.7" right="0.7" top="0.75" bottom="0.75" header="0.3" footer="0.3"/>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dimension ref="A1:O32"/>
  <sheetViews>
    <sheetView topLeftCell="A10" workbookViewId="0">
      <selection activeCell="E18" sqref="E18"/>
    </sheetView>
  </sheetViews>
  <sheetFormatPr defaultColWidth="8.85546875" defaultRowHeight="12.75"/>
  <cols>
    <col min="1" max="2" width="8.85546875" style="289" customWidth="1"/>
    <col min="3" max="3" width="49.28515625" style="289" customWidth="1"/>
    <col min="4" max="5" width="8.85546875" style="289" customWidth="1"/>
    <col min="6" max="6" width="5.85546875" style="289" customWidth="1"/>
    <col min="7" max="10" width="8.85546875" style="289" customWidth="1"/>
    <col min="11" max="12" width="56.5703125" style="289" customWidth="1"/>
    <col min="13" max="16384" width="8.85546875" style="289"/>
  </cols>
  <sheetData>
    <row r="1" spans="1:6" ht="14.25">
      <c r="A1" s="269" t="s">
        <v>297</v>
      </c>
    </row>
    <row r="3" spans="1:6" ht="15">
      <c r="A3" s="286" t="s">
        <v>287</v>
      </c>
      <c r="B3"/>
      <c r="C3"/>
      <c r="D3"/>
      <c r="E3"/>
    </row>
    <row r="4" spans="1:6" ht="15">
      <c r="A4" s="75"/>
      <c r="B4"/>
      <c r="C4"/>
      <c r="D4"/>
      <c r="E4"/>
    </row>
    <row r="5" spans="1:6" ht="15">
      <c r="A5"/>
      <c r="B5"/>
      <c r="C5"/>
      <c r="D5" s="4"/>
      <c r="E5" s="75" t="s">
        <v>288</v>
      </c>
    </row>
    <row r="8" spans="1:6" ht="69" customHeight="1">
      <c r="C8" s="463" t="s">
        <v>295</v>
      </c>
      <c r="D8" s="463"/>
      <c r="E8" s="463"/>
    </row>
    <row r="9" spans="1:6" ht="15" customHeight="1">
      <c r="C9" s="297"/>
      <c r="D9" s="297"/>
      <c r="E9" s="297"/>
    </row>
    <row r="12" spans="1:6" ht="14.25">
      <c r="C12" s="290" t="s">
        <v>296</v>
      </c>
      <c r="D12" s="389" t="s">
        <v>261</v>
      </c>
      <c r="E12" s="390">
        <v>150</v>
      </c>
      <c r="F12" s="288" t="s">
        <v>393</v>
      </c>
    </row>
    <row r="13" spans="1:6" ht="15">
      <c r="C13" s="290" t="s">
        <v>394</v>
      </c>
      <c r="D13" s="399"/>
      <c r="E13" s="390">
        <v>33</v>
      </c>
      <c r="F13" s="288" t="s">
        <v>20</v>
      </c>
    </row>
    <row r="14" spans="1:6" ht="14.25">
      <c r="C14" s="290" t="s">
        <v>395</v>
      </c>
      <c r="D14" s="389" t="s">
        <v>200</v>
      </c>
      <c r="E14" s="390">
        <v>28</v>
      </c>
      <c r="F14" s="288" t="s">
        <v>20</v>
      </c>
    </row>
    <row r="15" spans="1:6" ht="14.25">
      <c r="C15" s="290" t="s">
        <v>289</v>
      </c>
      <c r="D15" s="389" t="s">
        <v>290</v>
      </c>
      <c r="E15" s="390">
        <v>1.5</v>
      </c>
      <c r="F15" s="288" t="s">
        <v>13</v>
      </c>
    </row>
    <row r="16" spans="1:6" ht="18">
      <c r="C16" s="290" t="s">
        <v>291</v>
      </c>
      <c r="D16" s="391" t="s">
        <v>392</v>
      </c>
      <c r="E16" s="390">
        <v>1900</v>
      </c>
      <c r="F16" s="456" t="s">
        <v>455</v>
      </c>
    </row>
    <row r="17" spans="3:15" ht="18">
      <c r="C17" s="290" t="s">
        <v>396</v>
      </c>
      <c r="D17" s="391" t="s">
        <v>397</v>
      </c>
      <c r="E17" s="390">
        <v>1000</v>
      </c>
      <c r="F17" s="456" t="s">
        <v>455</v>
      </c>
    </row>
    <row r="18" spans="3:15" ht="18.75">
      <c r="C18" s="290" t="s">
        <v>398</v>
      </c>
      <c r="D18" s="389" t="s">
        <v>399</v>
      </c>
      <c r="E18" s="390">
        <v>0.25</v>
      </c>
      <c r="F18" s="288" t="s">
        <v>13</v>
      </c>
    </row>
    <row r="19" spans="3:15" ht="14.25">
      <c r="C19" s="291" t="s">
        <v>293</v>
      </c>
      <c r="D19" s="392" t="s">
        <v>292</v>
      </c>
      <c r="E19" s="393">
        <f>E17*E18</f>
        <v>250</v>
      </c>
      <c r="F19" s="288" t="s">
        <v>393</v>
      </c>
      <c r="K19" s="292"/>
      <c r="L19" s="292"/>
      <c r="M19" s="292"/>
      <c r="N19" s="292"/>
      <c r="O19" s="293"/>
    </row>
    <row r="20" spans="3:15" ht="14.25">
      <c r="C20" s="291" t="s">
        <v>298</v>
      </c>
      <c r="D20" s="392" t="s">
        <v>127</v>
      </c>
      <c r="E20" s="393">
        <v>1</v>
      </c>
      <c r="F20" s="398" t="s">
        <v>13</v>
      </c>
      <c r="K20" s="292"/>
      <c r="L20" s="292"/>
      <c r="M20" s="292"/>
      <c r="N20" s="292"/>
      <c r="O20" s="293"/>
    </row>
    <row r="21" spans="3:15" ht="14.25">
      <c r="C21" s="298" t="s">
        <v>400</v>
      </c>
      <c r="D21" s="394">
        <f>RADIANS($E$14)</f>
        <v>0.48869219055841229</v>
      </c>
      <c r="E21" s="395">
        <f>COS(D21)*COS(D21)</f>
        <v>0.77959645173537351</v>
      </c>
      <c r="F21" s="293"/>
      <c r="K21" s="294"/>
      <c r="L21" s="294"/>
      <c r="M21" s="294"/>
      <c r="N21" s="292"/>
      <c r="O21" s="293"/>
    </row>
    <row r="22" spans="3:15" ht="14.25">
      <c r="C22" s="298" t="s">
        <v>333</v>
      </c>
      <c r="D22" s="394">
        <f>RADIANS($E$13)</f>
        <v>0.57595865315812877</v>
      </c>
      <c r="E22" s="395">
        <f>TAN(D22)</f>
        <v>0.64940759319751062</v>
      </c>
      <c r="F22" s="293"/>
      <c r="K22" s="292"/>
      <c r="L22" s="295"/>
      <c r="M22" s="295"/>
      <c r="N22" s="292"/>
      <c r="O22" s="293"/>
    </row>
    <row r="23" spans="3:15" ht="15">
      <c r="C23" s="298" t="s">
        <v>401</v>
      </c>
      <c r="D23" s="394">
        <f>RADIANS($E$14)</f>
        <v>0.48869219055841229</v>
      </c>
      <c r="E23" s="395">
        <f>SIN(D23)</f>
        <v>0.46947156278589081</v>
      </c>
      <c r="F23" s="293"/>
      <c r="K23" s="299"/>
      <c r="L23" s="294"/>
      <c r="M23" s="294"/>
      <c r="N23" s="292"/>
      <c r="O23" s="293"/>
    </row>
    <row r="24" spans="3:15" ht="15.75">
      <c r="C24" s="298" t="s">
        <v>402</v>
      </c>
      <c r="D24" s="394">
        <f>RADIANS($E$14)</f>
        <v>0.48869219055841229</v>
      </c>
      <c r="E24" s="395">
        <f>COS(D24)</f>
        <v>0.88294759285892699</v>
      </c>
      <c r="F24" s="293"/>
      <c r="K24" s="300"/>
      <c r="L24" s="295"/>
      <c r="M24" s="294"/>
      <c r="N24" s="292"/>
      <c r="O24" s="293"/>
    </row>
    <row r="25" spans="3:15" ht="15.75">
      <c r="D25" s="396"/>
      <c r="E25" s="397"/>
      <c r="K25" s="300"/>
      <c r="L25" s="294"/>
      <c r="M25" s="294"/>
      <c r="N25" s="292"/>
      <c r="O25" s="293"/>
    </row>
    <row r="26" spans="3:15" ht="14.25">
      <c r="C26" s="296" t="s">
        <v>299</v>
      </c>
      <c r="D26" s="392" t="s">
        <v>294</v>
      </c>
      <c r="E26" s="393">
        <f>(E12+(E16*E15*E21-E19)*E22)/(E16*E15*E23*E24)</f>
        <v>1.2109025515853147</v>
      </c>
      <c r="K26" s="301"/>
      <c r="L26" s="295"/>
      <c r="M26" s="294"/>
      <c r="N26" s="292"/>
      <c r="O26" s="293"/>
    </row>
    <row r="27" spans="3:15" ht="14.25">
      <c r="K27" s="301"/>
      <c r="L27" s="294"/>
      <c r="M27" s="294"/>
      <c r="N27" s="292"/>
      <c r="O27" s="293"/>
    </row>
    <row r="28" spans="3:15" ht="15">
      <c r="K28" s="299"/>
      <c r="L28" s="295"/>
      <c r="M28" s="294"/>
      <c r="N28" s="292"/>
      <c r="O28" s="293"/>
    </row>
    <row r="29" spans="3:15" ht="15.75">
      <c r="K29" s="300"/>
      <c r="L29" s="292"/>
      <c r="M29" s="292"/>
      <c r="N29" s="292"/>
      <c r="O29" s="293"/>
    </row>
    <row r="30" spans="3:15" ht="14.25">
      <c r="K30" s="301"/>
      <c r="L30" s="293"/>
      <c r="M30" s="293"/>
      <c r="N30" s="293"/>
      <c r="O30" s="293"/>
    </row>
    <row r="31" spans="3:15" ht="14.25">
      <c r="K31" s="301"/>
    </row>
    <row r="32" spans="3:15" ht="15.75">
      <c r="K32" s="300"/>
    </row>
  </sheetData>
  <mergeCells count="1">
    <mergeCell ref="C8:E8"/>
  </mergeCells>
  <phoneticPr fontId="2" type="noConversion"/>
  <pageMargins left="0.75" right="0.75" top="1" bottom="1" header="0.5" footer="0.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dimension ref="A1:H58"/>
  <sheetViews>
    <sheetView workbookViewId="0">
      <selection activeCell="H44" sqref="H44"/>
    </sheetView>
  </sheetViews>
  <sheetFormatPr defaultRowHeight="15"/>
  <cols>
    <col min="3" max="3" width="41.7109375" bestFit="1" customWidth="1"/>
    <col min="4" max="4" width="11" bestFit="1" customWidth="1"/>
    <col min="6" max="6" width="10" customWidth="1"/>
    <col min="7" max="7" width="14" customWidth="1"/>
    <col min="8" max="8" width="18" customWidth="1"/>
    <col min="9" max="9" width="10" bestFit="1" customWidth="1"/>
  </cols>
  <sheetData>
    <row r="1" spans="1:8">
      <c r="A1" s="252" t="s">
        <v>1</v>
      </c>
    </row>
    <row r="3" spans="1:8">
      <c r="A3" s="286" t="s">
        <v>287</v>
      </c>
    </row>
    <row r="4" spans="1:8">
      <c r="A4" s="75"/>
    </row>
    <row r="5" spans="1:8">
      <c r="D5" s="4"/>
      <c r="E5" s="75" t="s">
        <v>288</v>
      </c>
    </row>
    <row r="6" spans="1:8" ht="15.75" thickBot="1"/>
    <row r="7" spans="1:8">
      <c r="B7" s="266" t="s">
        <v>267</v>
      </c>
      <c r="C7" s="205"/>
      <c r="D7" s="205"/>
      <c r="E7" s="205"/>
      <c r="F7" s="205"/>
      <c r="G7" s="205"/>
      <c r="H7" s="170"/>
    </row>
    <row r="8" spans="1:8">
      <c r="B8" s="259"/>
      <c r="C8" s="94"/>
      <c r="D8" s="94"/>
      <c r="E8" s="94"/>
      <c r="F8" s="94"/>
      <c r="G8" s="94"/>
      <c r="H8" s="158"/>
    </row>
    <row r="9" spans="1:8">
      <c r="B9" s="259"/>
      <c r="C9" s="94"/>
      <c r="D9" s="94"/>
      <c r="E9" s="94"/>
      <c r="F9" s="94"/>
      <c r="G9" s="94"/>
      <c r="H9" s="158"/>
    </row>
    <row r="10" spans="1:8">
      <c r="B10" s="259"/>
      <c r="C10" s="94"/>
      <c r="D10" s="94"/>
      <c r="E10" s="94"/>
      <c r="F10" s="234" t="s">
        <v>142</v>
      </c>
      <c r="G10" s="94"/>
      <c r="H10" s="158"/>
    </row>
    <row r="11" spans="1:8">
      <c r="B11" s="259"/>
      <c r="C11" s="233" t="s">
        <v>132</v>
      </c>
      <c r="D11" s="358" t="s">
        <v>357</v>
      </c>
      <c r="E11" s="365">
        <v>33</v>
      </c>
      <c r="F11" s="234" t="s">
        <v>20</v>
      </c>
      <c r="G11" s="94"/>
      <c r="H11" s="158"/>
    </row>
    <row r="12" spans="1:8" ht="18">
      <c r="B12" s="259"/>
      <c r="C12" s="233" t="s">
        <v>160</v>
      </c>
      <c r="D12" s="359" t="s">
        <v>367</v>
      </c>
      <c r="E12" s="406">
        <f ca="1">'analisi carichi '!H21</f>
        <v>7023.28125</v>
      </c>
      <c r="F12" s="234" t="s">
        <v>348</v>
      </c>
      <c r="G12" s="267" t="s">
        <v>269</v>
      </c>
      <c r="H12" s="158"/>
    </row>
    <row r="13" spans="1:8" ht="18">
      <c r="B13" s="259"/>
      <c r="C13" s="233" t="s">
        <v>163</v>
      </c>
      <c r="D13" s="359" t="s">
        <v>369</v>
      </c>
      <c r="E13" s="406">
        <f ca="1">'analisi carichi '!H23</f>
        <v>1491.8370473651275</v>
      </c>
      <c r="F13" s="234" t="s">
        <v>348</v>
      </c>
      <c r="G13" s="267" t="s">
        <v>269</v>
      </c>
      <c r="H13" s="158"/>
    </row>
    <row r="14" spans="1:8">
      <c r="B14" s="259"/>
      <c r="C14" s="94"/>
      <c r="D14" s="94"/>
      <c r="E14" s="94"/>
      <c r="F14" s="94"/>
      <c r="G14" s="94"/>
      <c r="H14" s="158"/>
    </row>
    <row r="15" spans="1:8">
      <c r="B15" s="259"/>
      <c r="C15" s="94"/>
      <c r="D15" s="94"/>
      <c r="E15" s="94"/>
      <c r="F15" s="94"/>
      <c r="G15" s="94"/>
      <c r="H15" s="158"/>
    </row>
    <row r="16" spans="1:8">
      <c r="B16" s="259"/>
      <c r="C16" s="94"/>
      <c r="D16" s="94"/>
      <c r="E16" s="94"/>
      <c r="F16" s="236" t="s">
        <v>143</v>
      </c>
      <c r="G16" s="94"/>
      <c r="H16" s="158"/>
    </row>
    <row r="17" spans="2:8">
      <c r="B17" s="259"/>
      <c r="C17" s="235" t="s">
        <v>132</v>
      </c>
      <c r="D17" s="401" t="s">
        <v>357</v>
      </c>
      <c r="E17" s="402">
        <f>RADIANS($E$11)</f>
        <v>0.57595865315812877</v>
      </c>
      <c r="F17" s="235" t="s">
        <v>167</v>
      </c>
      <c r="G17" s="94"/>
      <c r="H17" s="158"/>
    </row>
    <row r="18" spans="2:8">
      <c r="B18" s="259"/>
      <c r="C18" s="235" t="s">
        <v>166</v>
      </c>
      <c r="D18" s="404" t="s">
        <v>125</v>
      </c>
      <c r="E18" s="402">
        <f>TAN($E$17)</f>
        <v>0.64940759319751062</v>
      </c>
      <c r="F18" s="235" t="s">
        <v>149</v>
      </c>
      <c r="G18" s="94"/>
      <c r="H18" s="158"/>
    </row>
    <row r="19" spans="2:8">
      <c r="B19" s="259"/>
      <c r="C19" s="235" t="s">
        <v>168</v>
      </c>
      <c r="D19" s="402" t="s">
        <v>169</v>
      </c>
      <c r="E19" s="402">
        <f>$E$18*$E$12/$E$13</f>
        <v>3.057285767884141</v>
      </c>
      <c r="F19" s="235" t="s">
        <v>149</v>
      </c>
      <c r="G19" s="94"/>
      <c r="H19" s="158"/>
    </row>
    <row r="20" spans="2:8">
      <c r="B20" s="259"/>
      <c r="C20" s="235"/>
      <c r="D20" s="402" t="s">
        <v>170</v>
      </c>
      <c r="E20" s="402">
        <v>1.3</v>
      </c>
      <c r="F20" s="235" t="s">
        <v>149</v>
      </c>
      <c r="G20" s="260" t="str">
        <f>IF(E20&lt;E19,"Verificata","Non verificata!!!")</f>
        <v>Verificata</v>
      </c>
      <c r="H20" s="158"/>
    </row>
    <row r="21" spans="2:8">
      <c r="B21" s="259"/>
      <c r="C21" s="94"/>
      <c r="D21" s="94"/>
      <c r="E21" s="94"/>
      <c r="F21" s="94"/>
      <c r="G21" s="94"/>
      <c r="H21" s="158"/>
    </row>
    <row r="22" spans="2:8">
      <c r="B22" s="259"/>
      <c r="C22" s="94"/>
      <c r="D22" s="94"/>
      <c r="E22" s="94"/>
      <c r="F22" s="94"/>
      <c r="G22" s="94"/>
      <c r="H22" s="158"/>
    </row>
    <row r="23" spans="2:8" ht="15.75" thickBot="1">
      <c r="B23" s="261"/>
      <c r="C23" s="212"/>
      <c r="D23" s="212"/>
      <c r="E23" s="212"/>
      <c r="F23" s="212"/>
      <c r="G23" s="212"/>
      <c r="H23" s="175"/>
    </row>
    <row r="24" spans="2:8" ht="15.75" thickBot="1"/>
    <row r="25" spans="2:8">
      <c r="B25" s="266" t="s">
        <v>268</v>
      </c>
      <c r="C25" s="205"/>
      <c r="D25" s="205"/>
      <c r="E25" s="205"/>
      <c r="F25" s="205"/>
      <c r="G25" s="205"/>
      <c r="H25" s="170"/>
    </row>
    <row r="26" spans="2:8">
      <c r="B26" s="259"/>
      <c r="C26" s="94"/>
      <c r="D26" s="94"/>
      <c r="E26" s="94"/>
      <c r="F26" s="94"/>
      <c r="G26" s="94"/>
      <c r="H26" s="158"/>
    </row>
    <row r="27" spans="2:8">
      <c r="B27" s="259"/>
      <c r="C27" s="94"/>
      <c r="D27" s="94"/>
      <c r="E27" s="94"/>
      <c r="F27" s="234" t="s">
        <v>142</v>
      </c>
      <c r="G27" s="94"/>
      <c r="H27" s="158"/>
    </row>
    <row r="28" spans="2:8">
      <c r="B28" s="259"/>
      <c r="C28" s="233" t="s">
        <v>132</v>
      </c>
      <c r="D28" s="358" t="s">
        <v>357</v>
      </c>
      <c r="E28" s="365">
        <v>33</v>
      </c>
      <c r="F28" s="234" t="s">
        <v>20</v>
      </c>
      <c r="G28" s="94"/>
      <c r="H28" s="158"/>
    </row>
    <row r="29" spans="2:8" ht="18">
      <c r="B29" s="259"/>
      <c r="C29" s="233" t="s">
        <v>162</v>
      </c>
      <c r="D29" s="359" t="s">
        <v>404</v>
      </c>
      <c r="E29" s="405">
        <f ca="1">'analisi carichi '!H22</f>
        <v>0.50393316725040549</v>
      </c>
      <c r="F29" s="234" t="s">
        <v>149</v>
      </c>
      <c r="G29" s="267" t="s">
        <v>269</v>
      </c>
      <c r="H29" s="158"/>
    </row>
    <row r="30" spans="2:8">
      <c r="B30" s="259"/>
      <c r="C30" s="233" t="s">
        <v>135</v>
      </c>
      <c r="D30" s="358" t="s">
        <v>126</v>
      </c>
      <c r="E30" s="365">
        <v>10</v>
      </c>
      <c r="F30" s="234" t="s">
        <v>20</v>
      </c>
      <c r="G30" s="94"/>
      <c r="H30" s="158"/>
    </row>
    <row r="31" spans="2:8" ht="18">
      <c r="B31" s="259"/>
      <c r="C31" s="233" t="s">
        <v>252</v>
      </c>
      <c r="D31" s="358" t="s">
        <v>257</v>
      </c>
      <c r="E31" s="365">
        <v>1400</v>
      </c>
      <c r="F31" s="234" t="s">
        <v>456</v>
      </c>
      <c r="G31" s="94"/>
      <c r="H31" s="158"/>
    </row>
    <row r="32" spans="2:8" ht="18">
      <c r="B32" s="259"/>
      <c r="C32" s="233" t="s">
        <v>130</v>
      </c>
      <c r="D32" s="358" t="s">
        <v>353</v>
      </c>
      <c r="E32" s="365">
        <v>1900</v>
      </c>
      <c r="F32" s="234" t="s">
        <v>456</v>
      </c>
      <c r="G32" s="94"/>
      <c r="H32" s="158"/>
    </row>
    <row r="33" spans="2:8" ht="18">
      <c r="B33" s="259"/>
      <c r="C33" s="233" t="s">
        <v>133</v>
      </c>
      <c r="D33" s="358" t="s">
        <v>356</v>
      </c>
      <c r="E33" s="365">
        <v>1000</v>
      </c>
      <c r="F33" s="234" t="s">
        <v>456</v>
      </c>
      <c r="G33" s="94"/>
      <c r="H33" s="158"/>
    </row>
    <row r="34" spans="2:8">
      <c r="B34" s="259"/>
      <c r="C34" s="233" t="s">
        <v>131</v>
      </c>
      <c r="D34" s="359" t="s">
        <v>124</v>
      </c>
      <c r="E34" s="365">
        <v>2</v>
      </c>
      <c r="F34" s="234" t="s">
        <v>13</v>
      </c>
      <c r="G34" s="94"/>
      <c r="H34" s="158"/>
    </row>
    <row r="35" spans="2:8" ht="17.25">
      <c r="B35" s="259"/>
      <c r="C35" s="233" t="s">
        <v>220</v>
      </c>
      <c r="D35" s="359" t="s">
        <v>221</v>
      </c>
      <c r="E35" s="365">
        <v>1100</v>
      </c>
      <c r="F35" s="234" t="s">
        <v>403</v>
      </c>
      <c r="G35" s="94"/>
      <c r="H35" s="158"/>
    </row>
    <row r="36" spans="2:8">
      <c r="B36" s="259"/>
      <c r="C36" s="94"/>
      <c r="D36" s="94"/>
      <c r="E36" s="94"/>
      <c r="F36" s="94"/>
      <c r="G36" s="94"/>
      <c r="H36" s="158"/>
    </row>
    <row r="37" spans="2:8">
      <c r="B37" s="259"/>
      <c r="C37" s="94"/>
      <c r="D37" s="94"/>
      <c r="E37" s="94"/>
      <c r="F37" s="94"/>
      <c r="G37" s="94"/>
      <c r="H37" s="158"/>
    </row>
    <row r="38" spans="2:8">
      <c r="B38" s="259"/>
      <c r="C38" s="94"/>
      <c r="G38" s="94"/>
      <c r="H38" s="158"/>
    </row>
    <row r="39" spans="2:8">
      <c r="B39" s="259"/>
      <c r="C39" s="94"/>
      <c r="D39" s="246" t="s">
        <v>126</v>
      </c>
      <c r="E39" s="455">
        <f>E30</f>
        <v>10</v>
      </c>
      <c r="F39" s="235" t="s">
        <v>20</v>
      </c>
      <c r="G39" s="94"/>
      <c r="H39" s="158"/>
    </row>
    <row r="40" spans="2:8">
      <c r="B40" s="259"/>
      <c r="C40" s="94"/>
      <c r="D40" s="94"/>
      <c r="E40" s="455">
        <f>RADIANS($E$39)</f>
        <v>0.17453292519943295</v>
      </c>
      <c r="F40" s="235" t="s">
        <v>255</v>
      </c>
      <c r="G40" s="94"/>
      <c r="H40" s="158"/>
    </row>
    <row r="41" spans="2:8">
      <c r="B41" s="259"/>
      <c r="C41" s="94"/>
      <c r="D41" s="94"/>
      <c r="E41" s="455">
        <f>TAN($E$40)</f>
        <v>0.17632698070846498</v>
      </c>
      <c r="F41" s="235" t="s">
        <v>256</v>
      </c>
      <c r="G41" s="94"/>
      <c r="H41" s="158"/>
    </row>
    <row r="42" spans="2:8">
      <c r="B42" s="259"/>
      <c r="C42" s="94"/>
      <c r="D42" s="94"/>
      <c r="E42" s="455">
        <f>COS($E$40)</f>
        <v>0.98480775301220802</v>
      </c>
      <c r="F42" s="235" t="s">
        <v>258</v>
      </c>
      <c r="G42" s="94"/>
      <c r="H42" s="158"/>
    </row>
    <row r="43" spans="2:8">
      <c r="B43" s="259"/>
      <c r="C43" s="94"/>
      <c r="D43" s="94"/>
      <c r="E43" s="94"/>
      <c r="F43" s="94"/>
      <c r="G43" s="94"/>
      <c r="H43" s="158"/>
    </row>
    <row r="44" spans="2:8">
      <c r="B44" s="259"/>
      <c r="C44" s="94"/>
      <c r="D44" s="94"/>
      <c r="E44" s="94"/>
      <c r="F44" s="94"/>
      <c r="G44" s="94"/>
      <c r="H44" s="158"/>
    </row>
    <row r="45" spans="2:8">
      <c r="B45" s="259"/>
      <c r="C45" s="94"/>
      <c r="D45" s="94"/>
      <c r="E45" s="94"/>
      <c r="F45" s="94"/>
      <c r="G45" s="94"/>
      <c r="H45" s="158"/>
    </row>
    <row r="46" spans="2:8">
      <c r="B46" s="259"/>
      <c r="C46" s="94"/>
      <c r="D46" s="94"/>
      <c r="E46" s="94"/>
      <c r="F46" s="236" t="s">
        <v>143</v>
      </c>
      <c r="G46" s="94"/>
      <c r="H46" s="158"/>
    </row>
    <row r="47" spans="2:8">
      <c r="B47" s="259"/>
      <c r="C47" s="235" t="s">
        <v>132</v>
      </c>
      <c r="D47" s="401" t="s">
        <v>357</v>
      </c>
      <c r="E47" s="402">
        <f>RADIANS($E$28)</f>
        <v>0.57595865315812877</v>
      </c>
      <c r="F47" s="235" t="s">
        <v>167</v>
      </c>
      <c r="G47" s="94"/>
      <c r="H47" s="158"/>
    </row>
    <row r="48" spans="2:8">
      <c r="B48" s="259"/>
      <c r="C48" s="235" t="s">
        <v>166</v>
      </c>
      <c r="D48" s="402" t="s">
        <v>125</v>
      </c>
      <c r="E48" s="402">
        <f>TAN($E$47)</f>
        <v>0.64940759319751062</v>
      </c>
      <c r="F48" s="235" t="s">
        <v>167</v>
      </c>
      <c r="G48" s="94"/>
      <c r="H48" s="158"/>
    </row>
    <row r="49" spans="2:8">
      <c r="B49" s="259"/>
      <c r="C49" s="235" t="s">
        <v>253</v>
      </c>
      <c r="D49" s="401" t="s">
        <v>254</v>
      </c>
      <c r="E49" s="402">
        <f>$E$32-$E$33</f>
        <v>900</v>
      </c>
      <c r="F49" s="235" t="s">
        <v>457</v>
      </c>
      <c r="G49" s="94"/>
      <c r="H49" s="407" t="s">
        <v>349</v>
      </c>
    </row>
    <row r="50" spans="2:8">
      <c r="B50" s="259"/>
      <c r="C50" s="235" t="s">
        <v>168</v>
      </c>
      <c r="D50" s="402" t="s">
        <v>405</v>
      </c>
      <c r="E50" s="410">
        <f>1.3/($E$48+1.3*$E$41)*(($E$33/(2*$E$31)*$E$34*$E$42)+($E$49/(2*$E$31)*$E$34*$E$29*$E$42)+$E$35/$E$31*$E$29)</f>
        <v>2.0986496008285154</v>
      </c>
      <c r="F50" s="235" t="s">
        <v>13</v>
      </c>
      <c r="G50" s="260" t="str">
        <f>IF(E50&lt;H50,"Verificata","Non verificata!!!")</f>
        <v>Verificata</v>
      </c>
      <c r="H50" s="408">
        <f ca="1">'analisi carichi '!D12</f>
        <v>2.1</v>
      </c>
    </row>
    <row r="51" spans="2:8">
      <c r="B51" s="259"/>
      <c r="C51" s="94"/>
      <c r="D51" s="94"/>
      <c r="E51" s="94"/>
      <c r="F51" s="94"/>
      <c r="G51" s="94"/>
      <c r="H51" s="158" t="s">
        <v>9</v>
      </c>
    </row>
    <row r="52" spans="2:8">
      <c r="B52" s="259"/>
      <c r="C52" s="94"/>
      <c r="D52" s="94"/>
      <c r="E52" s="94"/>
      <c r="F52" s="94"/>
      <c r="G52" s="94"/>
      <c r="H52" s="158"/>
    </row>
    <row r="53" spans="2:8">
      <c r="B53" s="259"/>
      <c r="C53" s="94"/>
      <c r="D53" s="94"/>
      <c r="E53" s="94"/>
      <c r="F53" s="94"/>
      <c r="G53" s="94"/>
      <c r="H53" s="158"/>
    </row>
    <row r="54" spans="2:8">
      <c r="B54" s="259"/>
      <c r="C54" s="94"/>
      <c r="D54" s="94"/>
      <c r="E54" s="94"/>
      <c r="F54" s="94"/>
      <c r="G54" s="94"/>
      <c r="H54" s="158"/>
    </row>
    <row r="55" spans="2:8">
      <c r="B55" s="259"/>
      <c r="C55" s="94"/>
      <c r="D55" s="94"/>
      <c r="E55" s="94"/>
      <c r="F55" s="94"/>
      <c r="G55" s="94"/>
      <c r="H55" s="158"/>
    </row>
    <row r="56" spans="2:8">
      <c r="B56" s="259"/>
      <c r="C56" s="94"/>
      <c r="D56" s="94"/>
      <c r="E56" s="94"/>
      <c r="F56" s="94"/>
      <c r="G56" s="94"/>
      <c r="H56" s="158"/>
    </row>
    <row r="57" spans="2:8">
      <c r="B57" s="259"/>
      <c r="C57" s="94"/>
      <c r="D57" s="94"/>
      <c r="E57" s="94"/>
      <c r="F57" s="94"/>
      <c r="G57" s="94"/>
      <c r="H57" s="158"/>
    </row>
    <row r="58" spans="2:8" ht="15.75" thickBot="1">
      <c r="B58" s="261"/>
      <c r="C58" s="212"/>
      <c r="D58" s="212"/>
      <c r="E58" s="212"/>
      <c r="F58" s="212"/>
      <c r="G58" s="212"/>
      <c r="H58" s="175"/>
    </row>
  </sheetData>
  <phoneticPr fontId="0" type="noConversion"/>
  <pageMargins left="0.7" right="0.7" top="0.75" bottom="0.75" header="0.3" footer="0.3"/>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dimension ref="B1:I57"/>
  <sheetViews>
    <sheetView topLeftCell="B1" workbookViewId="0">
      <selection activeCell="I25" sqref="I25"/>
    </sheetView>
  </sheetViews>
  <sheetFormatPr defaultRowHeight="15"/>
  <cols>
    <col min="4" max="4" width="41.7109375" bestFit="1" customWidth="1"/>
    <col min="5" max="5" width="10.7109375" bestFit="1" customWidth="1"/>
    <col min="7" max="7" width="9.7109375" customWidth="1"/>
    <col min="9" max="9" width="48.5703125" customWidth="1"/>
    <col min="10" max="10" width="10.7109375" bestFit="1" customWidth="1"/>
  </cols>
  <sheetData>
    <row r="1" spans="2:9">
      <c r="B1" s="252" t="s">
        <v>2</v>
      </c>
    </row>
    <row r="3" spans="2:9">
      <c r="B3" s="286" t="s">
        <v>287</v>
      </c>
    </row>
    <row r="4" spans="2:9">
      <c r="B4" s="75"/>
    </row>
    <row r="5" spans="2:9">
      <c r="E5" s="4"/>
      <c r="F5" s="75" t="s">
        <v>288</v>
      </c>
    </row>
    <row r="6" spans="2:9" ht="15.75" thickBot="1"/>
    <row r="7" spans="2:9">
      <c r="C7" s="266" t="s">
        <v>267</v>
      </c>
      <c r="D7" s="205"/>
      <c r="E7" s="205"/>
      <c r="F7" s="205"/>
      <c r="G7" s="205"/>
      <c r="H7" s="205"/>
      <c r="I7" s="170"/>
    </row>
    <row r="8" spans="2:9">
      <c r="C8" s="259"/>
      <c r="D8" s="94"/>
      <c r="E8" s="94"/>
      <c r="F8" s="94"/>
      <c r="G8" s="94"/>
      <c r="H8" s="94"/>
      <c r="I8" s="158"/>
    </row>
    <row r="9" spans="2:9">
      <c r="C9" s="259"/>
      <c r="D9" s="94"/>
      <c r="E9" s="94"/>
      <c r="F9" s="94"/>
      <c r="G9" s="234" t="s">
        <v>142</v>
      </c>
      <c r="H9" s="94"/>
      <c r="I9" s="158"/>
    </row>
    <row r="10" spans="2:9">
      <c r="C10" s="259"/>
      <c r="D10" s="233" t="s">
        <v>171</v>
      </c>
      <c r="E10" s="411" t="s">
        <v>134</v>
      </c>
      <c r="F10" s="365">
        <v>2.1</v>
      </c>
      <c r="G10" s="234" t="s">
        <v>13</v>
      </c>
      <c r="H10" s="94"/>
      <c r="I10" s="158"/>
    </row>
    <row r="11" spans="2:9">
      <c r="C11" s="259"/>
      <c r="D11" s="233" t="s">
        <v>177</v>
      </c>
      <c r="E11" s="411" t="s">
        <v>124</v>
      </c>
      <c r="F11" s="365">
        <v>2</v>
      </c>
      <c r="G11" s="234" t="s">
        <v>178</v>
      </c>
      <c r="H11" s="94"/>
      <c r="I11" s="158"/>
    </row>
    <row r="12" spans="2:9" ht="18">
      <c r="C12" s="259"/>
      <c r="D12" s="233" t="s">
        <v>160</v>
      </c>
      <c r="E12" s="363" t="s">
        <v>406</v>
      </c>
      <c r="F12" s="406">
        <f ca="1">'analisi carichi '!H21</f>
        <v>7023.28125</v>
      </c>
      <c r="G12" s="234" t="s">
        <v>348</v>
      </c>
      <c r="H12" s="267" t="s">
        <v>269</v>
      </c>
      <c r="I12" s="158"/>
    </row>
    <row r="13" spans="2:9" ht="18">
      <c r="C13" s="259"/>
      <c r="D13" s="233" t="s">
        <v>163</v>
      </c>
      <c r="E13" s="359" t="s">
        <v>369</v>
      </c>
      <c r="F13" s="406">
        <f ca="1">'analisi carichi '!H23</f>
        <v>1491.8370473651275</v>
      </c>
      <c r="G13" s="234" t="s">
        <v>348</v>
      </c>
      <c r="H13" s="267" t="s">
        <v>269</v>
      </c>
      <c r="I13" s="158"/>
    </row>
    <row r="14" spans="2:9">
      <c r="C14" s="259"/>
      <c r="D14" s="94"/>
      <c r="E14" s="94"/>
      <c r="F14" s="94"/>
      <c r="G14" s="94"/>
      <c r="H14" s="94"/>
      <c r="I14" s="158"/>
    </row>
    <row r="15" spans="2:9">
      <c r="C15" s="259"/>
      <c r="D15" s="94"/>
      <c r="E15" s="94"/>
      <c r="F15" s="94"/>
      <c r="G15" s="94"/>
      <c r="H15" s="94"/>
      <c r="I15" s="158"/>
    </row>
    <row r="16" spans="2:9">
      <c r="C16" s="259"/>
      <c r="D16" s="94"/>
      <c r="E16" s="94"/>
      <c r="F16" s="94"/>
      <c r="G16" s="94"/>
      <c r="H16" s="94"/>
      <c r="I16" s="158"/>
    </row>
    <row r="17" spans="3:9">
      <c r="C17" s="259"/>
      <c r="D17" s="94"/>
      <c r="E17" s="94"/>
      <c r="F17" s="94"/>
      <c r="G17" s="94"/>
      <c r="H17" s="94"/>
      <c r="I17" s="158"/>
    </row>
    <row r="18" spans="3:9">
      <c r="C18" s="259"/>
      <c r="D18" s="94"/>
      <c r="E18" s="94"/>
      <c r="F18" s="94"/>
      <c r="G18" s="236" t="s">
        <v>143</v>
      </c>
      <c r="H18" s="94"/>
      <c r="I18" s="158"/>
    </row>
    <row r="19" spans="3:9">
      <c r="C19" s="259"/>
      <c r="D19" s="235" t="s">
        <v>172</v>
      </c>
      <c r="E19" s="354" t="s">
        <v>173</v>
      </c>
      <c r="F19" s="412">
        <f>$F$12*$F$10/2</f>
        <v>7374.4453125</v>
      </c>
      <c r="G19" s="235" t="s">
        <v>174</v>
      </c>
      <c r="H19" s="94"/>
      <c r="I19" s="158"/>
    </row>
    <row r="20" spans="3:9">
      <c r="C20" s="259"/>
      <c r="D20" s="235" t="s">
        <v>175</v>
      </c>
      <c r="E20" s="354" t="s">
        <v>176</v>
      </c>
      <c r="F20" s="409">
        <f>$F$13*1/3*$F$11</f>
        <v>994.55803157675166</v>
      </c>
      <c r="G20" s="235" t="s">
        <v>174</v>
      </c>
      <c r="H20" s="94"/>
      <c r="I20" s="158"/>
    </row>
    <row r="21" spans="3:9">
      <c r="C21" s="259"/>
      <c r="D21" s="235" t="s">
        <v>179</v>
      </c>
      <c r="E21" s="354" t="s">
        <v>180</v>
      </c>
      <c r="F21" s="409">
        <f>$F$19/$F$20</f>
        <v>7.4147964003756597</v>
      </c>
      <c r="G21" s="235" t="s">
        <v>149</v>
      </c>
      <c r="H21" s="94"/>
      <c r="I21" s="158"/>
    </row>
    <row r="22" spans="3:9">
      <c r="C22" s="259"/>
      <c r="D22" s="94"/>
      <c r="E22" s="354" t="s">
        <v>170</v>
      </c>
      <c r="F22" s="409">
        <v>1.5</v>
      </c>
      <c r="G22" s="235" t="s">
        <v>149</v>
      </c>
      <c r="H22" s="260" t="str">
        <f>IF(F22&lt;F21,"Verificata","Non verificata!!!")</f>
        <v>Verificata</v>
      </c>
      <c r="I22" s="158"/>
    </row>
    <row r="23" spans="3:9">
      <c r="C23" s="259"/>
      <c r="D23" s="94"/>
      <c r="E23" s="94"/>
      <c r="F23" s="94"/>
      <c r="G23" s="94"/>
      <c r="H23" s="94"/>
      <c r="I23" s="158"/>
    </row>
    <row r="24" spans="3:9" ht="15.75" thickBot="1">
      <c r="C24" s="261"/>
      <c r="D24" s="212"/>
      <c r="E24" s="212"/>
      <c r="F24" s="212"/>
      <c r="G24" s="212"/>
      <c r="H24" s="212"/>
      <c r="I24" s="175"/>
    </row>
    <row r="28" spans="3:9" ht="15.75" thickBot="1"/>
    <row r="29" spans="3:9">
      <c r="C29" s="266" t="s">
        <v>270</v>
      </c>
      <c r="D29" s="205"/>
      <c r="E29" s="205"/>
      <c r="F29" s="205"/>
      <c r="G29" s="205"/>
      <c r="H29" s="205"/>
      <c r="I29" s="170"/>
    </row>
    <row r="30" spans="3:9">
      <c r="C30" s="259"/>
      <c r="D30" s="94"/>
      <c r="E30" s="94"/>
      <c r="F30" s="94"/>
      <c r="G30" s="94"/>
      <c r="H30" s="94"/>
      <c r="I30" s="158"/>
    </row>
    <row r="31" spans="3:9">
      <c r="C31" s="259"/>
      <c r="D31" s="94"/>
      <c r="E31" s="94"/>
      <c r="F31" s="94"/>
      <c r="G31" s="234" t="s">
        <v>142</v>
      </c>
      <c r="H31" s="94"/>
      <c r="I31" s="158"/>
    </row>
    <row r="32" spans="3:9" ht="18">
      <c r="C32" s="259"/>
      <c r="D32" s="233" t="s">
        <v>162</v>
      </c>
      <c r="E32" s="357" t="s">
        <v>404</v>
      </c>
      <c r="F32" s="441">
        <f ca="1">'analisi carichi '!H22</f>
        <v>0.50393316725040549</v>
      </c>
      <c r="G32" s="234" t="s">
        <v>149</v>
      </c>
      <c r="H32" s="267" t="s">
        <v>269</v>
      </c>
      <c r="I32" s="158"/>
    </row>
    <row r="33" spans="3:9">
      <c r="C33" s="259"/>
      <c r="D33" s="233" t="s">
        <v>135</v>
      </c>
      <c r="E33" s="356" t="s">
        <v>126</v>
      </c>
      <c r="F33" s="442">
        <v>10</v>
      </c>
      <c r="G33" s="234" t="s">
        <v>20</v>
      </c>
      <c r="H33" s="94"/>
      <c r="I33" s="158"/>
    </row>
    <row r="34" spans="3:9" ht="18.75">
      <c r="C34" s="259"/>
      <c r="D34" s="233" t="s">
        <v>252</v>
      </c>
      <c r="E34" s="413" t="s">
        <v>257</v>
      </c>
      <c r="F34" s="442">
        <v>1400</v>
      </c>
      <c r="G34" s="234" t="s">
        <v>456</v>
      </c>
      <c r="H34" s="94"/>
      <c r="I34" s="158"/>
    </row>
    <row r="35" spans="3:9" ht="18.75">
      <c r="C35" s="259"/>
      <c r="D35" s="233" t="s">
        <v>130</v>
      </c>
      <c r="E35" s="356" t="s">
        <v>353</v>
      </c>
      <c r="F35" s="442">
        <v>1900</v>
      </c>
      <c r="G35" s="234" t="s">
        <v>456</v>
      </c>
      <c r="H35" s="94"/>
      <c r="I35" s="158"/>
    </row>
    <row r="36" spans="3:9" ht="18.75">
      <c r="C36" s="259"/>
      <c r="D36" s="233" t="s">
        <v>133</v>
      </c>
      <c r="E36" s="356" t="s">
        <v>356</v>
      </c>
      <c r="F36" s="442">
        <v>1000</v>
      </c>
      <c r="G36" s="234" t="s">
        <v>456</v>
      </c>
      <c r="H36" s="94"/>
      <c r="I36" s="158"/>
    </row>
    <row r="37" spans="3:9">
      <c r="C37" s="259"/>
      <c r="D37" s="233" t="s">
        <v>131</v>
      </c>
      <c r="E37" s="357" t="s">
        <v>124</v>
      </c>
      <c r="F37" s="442">
        <v>2</v>
      </c>
      <c r="G37" s="234" t="s">
        <v>13</v>
      </c>
      <c r="H37" s="94"/>
      <c r="I37" s="158"/>
    </row>
    <row r="38" spans="3:9" ht="17.25">
      <c r="C38" s="259"/>
      <c r="D38" s="233" t="s">
        <v>220</v>
      </c>
      <c r="E38" s="357" t="s">
        <v>221</v>
      </c>
      <c r="F38" s="442">
        <v>1100</v>
      </c>
      <c r="G38" s="234" t="s">
        <v>403</v>
      </c>
      <c r="H38" s="94"/>
      <c r="I38" s="158"/>
    </row>
    <row r="39" spans="3:9">
      <c r="C39" s="259"/>
      <c r="D39" s="94"/>
      <c r="E39" s="94"/>
      <c r="F39" s="94"/>
      <c r="G39" s="94"/>
      <c r="H39" s="94"/>
      <c r="I39" s="158"/>
    </row>
    <row r="40" spans="3:9">
      <c r="C40" s="259"/>
      <c r="D40" s="94"/>
      <c r="E40" s="94"/>
      <c r="F40" s="94"/>
      <c r="G40" s="94"/>
      <c r="H40" s="94"/>
      <c r="I40" s="158"/>
    </row>
    <row r="41" spans="3:9">
      <c r="C41" s="259"/>
      <c r="D41" s="94"/>
      <c r="E41" s="246" t="s">
        <v>126</v>
      </c>
      <c r="F41" s="455">
        <f>F33</f>
        <v>10</v>
      </c>
      <c r="G41" s="236" t="s">
        <v>20</v>
      </c>
      <c r="H41" s="94"/>
      <c r="I41" s="158"/>
    </row>
    <row r="42" spans="3:9">
      <c r="C42" s="259"/>
      <c r="D42" s="94"/>
      <c r="E42" s="235" t="s">
        <v>255</v>
      </c>
      <c r="F42" s="455">
        <f>RADIANS($F$41)</f>
        <v>0.17453292519943295</v>
      </c>
      <c r="H42" s="94"/>
      <c r="I42" s="158"/>
    </row>
    <row r="43" spans="3:9">
      <c r="C43" s="259"/>
      <c r="D43" s="94"/>
      <c r="E43" s="235" t="s">
        <v>256</v>
      </c>
      <c r="F43" s="455">
        <f>TAN($F$42)</f>
        <v>0.17632698070846498</v>
      </c>
      <c r="H43" s="94"/>
      <c r="I43" s="158"/>
    </row>
    <row r="44" spans="3:9">
      <c r="C44" s="259"/>
      <c r="D44" s="94"/>
      <c r="E44" s="235" t="s">
        <v>258</v>
      </c>
      <c r="F44" s="455">
        <f>COS($F$42)</f>
        <v>0.98480775301220802</v>
      </c>
      <c r="H44" s="94"/>
      <c r="I44" s="158"/>
    </row>
    <row r="45" spans="3:9">
      <c r="C45" s="259"/>
      <c r="D45" s="94"/>
      <c r="E45" s="94"/>
      <c r="F45" s="94"/>
      <c r="G45" s="94"/>
      <c r="H45" s="94"/>
      <c r="I45" s="158"/>
    </row>
    <row r="46" spans="3:9">
      <c r="C46" s="259"/>
      <c r="D46" s="94"/>
      <c r="E46" s="94"/>
      <c r="F46" s="94"/>
      <c r="G46" s="94"/>
      <c r="H46" s="94"/>
      <c r="I46" s="158"/>
    </row>
    <row r="47" spans="3:9">
      <c r="C47" s="259"/>
      <c r="D47" s="94"/>
      <c r="E47" s="94"/>
      <c r="F47" s="94"/>
      <c r="G47" s="236" t="s">
        <v>143</v>
      </c>
      <c r="H47" s="94"/>
      <c r="I47" s="158"/>
    </row>
    <row r="48" spans="3:9">
      <c r="C48" s="259"/>
      <c r="D48" s="235" t="s">
        <v>253</v>
      </c>
      <c r="E48" s="401" t="s">
        <v>254</v>
      </c>
      <c r="F48" s="402">
        <f>$F$35-$F$36</f>
        <v>900</v>
      </c>
      <c r="G48" s="235" t="s">
        <v>457</v>
      </c>
      <c r="H48" s="94"/>
      <c r="I48" s="158"/>
    </row>
    <row r="49" spans="3:9">
      <c r="C49" s="259"/>
      <c r="D49" s="235" t="s">
        <v>262</v>
      </c>
      <c r="E49" s="402" t="s">
        <v>134</v>
      </c>
      <c r="F49" s="410">
        <f>SQRT(($F$37*$F$43)^2/4+(1.5/$F$34)*$F$37*$F$44*($F$36/2*$F$37*$F$44+($F$48/2)*$F$37*$F$32*$F$44+$F$38*$F$32))-$F$43/2</f>
        <v>1.966512974663448</v>
      </c>
      <c r="G49" s="235" t="s">
        <v>149</v>
      </c>
      <c r="H49" s="94"/>
      <c r="I49" s="158"/>
    </row>
    <row r="50" spans="3:9">
      <c r="C50" s="259"/>
      <c r="D50" s="94"/>
      <c r="E50" s="94"/>
      <c r="F50" s="94"/>
      <c r="G50" s="94"/>
      <c r="H50" s="94"/>
      <c r="I50" s="158"/>
    </row>
    <row r="51" spans="3:9">
      <c r="C51" s="259"/>
      <c r="D51" s="235" t="s">
        <v>278</v>
      </c>
      <c r="E51" s="402" t="s">
        <v>134</v>
      </c>
      <c r="F51" s="354">
        <f ca="1">'analisi carichi '!D12</f>
        <v>2.1</v>
      </c>
      <c r="G51" s="235" t="s">
        <v>13</v>
      </c>
      <c r="H51" s="260" t="str">
        <f>IF(F49&lt;F51,"Verificata","Non verificata!!!")</f>
        <v>Verificata</v>
      </c>
    </row>
    <row r="52" spans="3:9">
      <c r="C52" s="259"/>
      <c r="D52" s="94"/>
      <c r="E52" s="94"/>
      <c r="F52" s="94"/>
      <c r="G52" s="94"/>
      <c r="H52" s="94"/>
      <c r="I52" s="158"/>
    </row>
    <row r="53" spans="3:9">
      <c r="C53" s="259"/>
      <c r="D53" s="94"/>
      <c r="E53" s="94"/>
      <c r="F53" s="94"/>
      <c r="G53" s="94"/>
      <c r="H53" s="94"/>
      <c r="I53" s="162" t="s">
        <v>9</v>
      </c>
    </row>
    <row r="54" spans="3:9">
      <c r="C54" s="259"/>
      <c r="D54" s="94"/>
      <c r="E54" s="94"/>
      <c r="F54" s="94"/>
      <c r="G54" s="94"/>
      <c r="H54" s="94"/>
      <c r="I54" s="158"/>
    </row>
    <row r="55" spans="3:9">
      <c r="C55" s="259"/>
      <c r="D55" s="94"/>
      <c r="E55" s="94"/>
      <c r="F55" s="94"/>
      <c r="G55" s="94"/>
      <c r="H55" s="94"/>
      <c r="I55" s="158"/>
    </row>
    <row r="56" spans="3:9">
      <c r="C56" s="259"/>
      <c r="D56" s="94"/>
      <c r="E56" s="94"/>
      <c r="F56" s="94"/>
      <c r="G56" s="94"/>
      <c r="H56" s="94"/>
      <c r="I56" s="158"/>
    </row>
    <row r="57" spans="3:9" ht="15.75" thickBot="1">
      <c r="C57" s="261"/>
      <c r="D57" s="212"/>
      <c r="E57" s="212"/>
      <c r="F57" s="212"/>
      <c r="G57" s="212"/>
      <c r="H57" s="212"/>
      <c r="I57" s="175"/>
    </row>
  </sheetData>
  <phoneticPr fontId="0" type="noConversion"/>
  <pageMargins left="0.7" right="0.7" top="0.75" bottom="0.75" header="0.3" footer="0.3"/>
  <headerFooter alignWithMargins="0"/>
  <drawing r:id="rId1"/>
</worksheet>
</file>

<file path=xl/worksheets/sheet8.xml><?xml version="1.0" encoding="utf-8"?>
<worksheet xmlns="http://schemas.openxmlformats.org/spreadsheetml/2006/main" xmlns:r="http://schemas.openxmlformats.org/officeDocument/2006/relationships">
  <dimension ref="A1:O68"/>
  <sheetViews>
    <sheetView workbookViewId="0">
      <selection activeCell="E62" sqref="E62"/>
    </sheetView>
  </sheetViews>
  <sheetFormatPr defaultRowHeight="15"/>
  <cols>
    <col min="3" max="3" width="46.5703125" customWidth="1"/>
    <col min="4" max="4" width="16.140625" customWidth="1"/>
    <col min="11" max="11" width="18.5703125" bestFit="1" customWidth="1"/>
    <col min="12" max="12" width="12.42578125" bestFit="1" customWidth="1"/>
    <col min="20" max="20" width="43.140625" bestFit="1" customWidth="1"/>
  </cols>
  <sheetData>
    <row r="1" spans="1:11">
      <c r="A1" s="252" t="s">
        <v>3</v>
      </c>
    </row>
    <row r="3" spans="1:11">
      <c r="A3" s="286" t="s">
        <v>287</v>
      </c>
    </row>
    <row r="4" spans="1:11">
      <c r="A4" s="75"/>
    </row>
    <row r="5" spans="1:11">
      <c r="B5" s="4"/>
      <c r="C5" s="75" t="s">
        <v>288</v>
      </c>
    </row>
    <row r="6" spans="1:11" ht="15.75" thickBot="1"/>
    <row r="7" spans="1:11">
      <c r="B7" s="266" t="s">
        <v>267</v>
      </c>
      <c r="C7" s="205"/>
      <c r="D7" s="205"/>
      <c r="E7" s="205"/>
      <c r="F7" s="205"/>
      <c r="G7" s="205"/>
      <c r="H7" s="205"/>
      <c r="I7" s="205"/>
      <c r="J7" s="170"/>
    </row>
    <row r="8" spans="1:11">
      <c r="B8" s="259"/>
      <c r="C8" s="94"/>
      <c r="D8" s="94"/>
      <c r="E8" s="94"/>
      <c r="F8" s="94"/>
      <c r="G8" s="94"/>
      <c r="H8" s="94"/>
      <c r="I8" s="94"/>
      <c r="J8" s="158"/>
    </row>
    <row r="9" spans="1:11">
      <c r="B9" s="259"/>
      <c r="C9" s="5"/>
      <c r="D9" s="5"/>
      <c r="E9" s="5"/>
      <c r="F9" s="234" t="s">
        <v>142</v>
      </c>
      <c r="G9" s="94"/>
      <c r="H9" s="94"/>
      <c r="I9" s="94"/>
      <c r="J9" s="158"/>
    </row>
    <row r="10" spans="1:11" ht="18">
      <c r="B10" s="259"/>
      <c r="C10" s="233" t="s">
        <v>160</v>
      </c>
      <c r="D10" s="363" t="s">
        <v>406</v>
      </c>
      <c r="E10" s="406">
        <f ca="1">'analisi carichi '!H20</f>
        <v>6465.1953125</v>
      </c>
      <c r="F10" s="234" t="s">
        <v>19</v>
      </c>
      <c r="G10" s="267" t="s">
        <v>269</v>
      </c>
      <c r="H10" s="267"/>
      <c r="I10" s="267"/>
      <c r="J10" s="158"/>
    </row>
    <row r="11" spans="1:11" ht="18">
      <c r="B11" s="259"/>
      <c r="C11" s="233" t="s">
        <v>175</v>
      </c>
      <c r="D11" s="363" t="s">
        <v>426</v>
      </c>
      <c r="E11" s="414">
        <f ca="1">'resistenza ribaltamento'!F20</f>
        <v>994.55803157675166</v>
      </c>
      <c r="F11" s="250" t="s">
        <v>174</v>
      </c>
      <c r="G11" s="267" t="s">
        <v>273</v>
      </c>
      <c r="H11" s="94"/>
      <c r="I11" s="94"/>
      <c r="J11" s="158"/>
    </row>
    <row r="12" spans="1:11">
      <c r="B12" s="259"/>
      <c r="C12" s="233" t="s">
        <v>171</v>
      </c>
      <c r="D12" s="411" t="s">
        <v>134</v>
      </c>
      <c r="E12" s="365">
        <v>210</v>
      </c>
      <c r="F12" s="234" t="s">
        <v>182</v>
      </c>
      <c r="G12" s="94"/>
      <c r="H12" s="94"/>
      <c r="I12" s="94"/>
      <c r="J12" s="158"/>
    </row>
    <row r="13" spans="1:11" ht="17.25">
      <c r="B13" s="259"/>
      <c r="C13" s="233" t="s">
        <v>185</v>
      </c>
      <c r="D13" s="360"/>
      <c r="E13" s="415">
        <v>1.5</v>
      </c>
      <c r="F13" s="234" t="s">
        <v>407</v>
      </c>
      <c r="G13" s="94"/>
      <c r="H13" s="94"/>
      <c r="I13" s="94"/>
      <c r="J13" s="158"/>
      <c r="K13" s="251"/>
    </row>
    <row r="14" spans="1:11">
      <c r="B14" s="259"/>
      <c r="C14" s="94"/>
      <c r="D14" s="94"/>
      <c r="E14" s="94"/>
      <c r="F14" s="94"/>
      <c r="G14" s="94"/>
      <c r="H14" s="94"/>
      <c r="I14" s="94"/>
      <c r="J14" s="158"/>
    </row>
    <row r="15" spans="1:11">
      <c r="B15" s="259"/>
      <c r="C15" s="94"/>
      <c r="D15" s="94"/>
      <c r="E15" s="94"/>
      <c r="F15" s="94"/>
      <c r="G15" s="94"/>
      <c r="H15" s="94"/>
      <c r="I15" s="94"/>
      <c r="J15" s="158"/>
    </row>
    <row r="16" spans="1:11">
      <c r="B16" s="259"/>
      <c r="C16" s="94"/>
      <c r="D16" s="94"/>
      <c r="E16" s="94"/>
      <c r="F16" s="94"/>
      <c r="G16" s="94"/>
      <c r="H16" s="94"/>
      <c r="I16" s="94"/>
      <c r="J16" s="158"/>
    </row>
    <row r="17" spans="2:10">
      <c r="B17" s="259"/>
      <c r="C17" s="94"/>
      <c r="D17" s="94"/>
      <c r="E17" s="94"/>
      <c r="F17" s="94"/>
      <c r="G17" s="94"/>
      <c r="H17" s="94"/>
      <c r="I17" s="94"/>
      <c r="J17" s="158"/>
    </row>
    <row r="18" spans="2:10">
      <c r="B18" s="259"/>
      <c r="C18" s="94"/>
      <c r="D18" s="94"/>
      <c r="E18" s="94"/>
      <c r="F18" s="94"/>
      <c r="G18" s="94"/>
      <c r="H18" s="94"/>
      <c r="I18" s="94"/>
      <c r="J18" s="158"/>
    </row>
    <row r="19" spans="2:10">
      <c r="B19" s="259"/>
      <c r="C19" s="94"/>
      <c r="D19" s="94"/>
      <c r="E19" s="94"/>
      <c r="F19" s="236" t="s">
        <v>143</v>
      </c>
      <c r="G19" s="94"/>
      <c r="H19" s="94"/>
      <c r="I19" s="94"/>
      <c r="J19" s="158"/>
    </row>
    <row r="20" spans="2:10">
      <c r="B20" s="259"/>
      <c r="C20" s="235" t="s">
        <v>408</v>
      </c>
      <c r="D20" s="402" t="s">
        <v>181</v>
      </c>
      <c r="E20" s="410">
        <f>$E$11/$E$10</f>
        <v>0.15383263513382864</v>
      </c>
      <c r="F20" s="235" t="s">
        <v>13</v>
      </c>
      <c r="G20" s="94"/>
      <c r="H20" s="94"/>
      <c r="I20" s="94"/>
      <c r="J20" s="158"/>
    </row>
    <row r="21" spans="2:10">
      <c r="B21" s="259"/>
      <c r="C21" s="94"/>
      <c r="D21" s="94"/>
      <c r="E21" s="94"/>
      <c r="F21" s="94"/>
      <c r="G21" s="94"/>
      <c r="H21" s="94"/>
      <c r="I21" s="94"/>
      <c r="J21" s="158"/>
    </row>
    <row r="22" spans="2:10">
      <c r="B22" s="259"/>
      <c r="C22" s="94"/>
      <c r="D22" s="94"/>
      <c r="E22" s="94"/>
      <c r="F22" s="94"/>
      <c r="G22" s="94"/>
      <c r="H22" s="94"/>
      <c r="I22" s="94"/>
      <c r="J22" s="158"/>
    </row>
    <row r="23" spans="2:10">
      <c r="B23" s="259"/>
      <c r="C23" s="94"/>
      <c r="D23" s="94"/>
      <c r="E23" s="94"/>
      <c r="F23" s="94"/>
      <c r="G23" s="94"/>
      <c r="H23" s="94"/>
      <c r="I23" s="94"/>
      <c r="J23" s="158"/>
    </row>
    <row r="24" spans="2:10">
      <c r="B24" s="259"/>
      <c r="C24" s="94" t="s">
        <v>271</v>
      </c>
      <c r="D24" s="94"/>
      <c r="E24" s="94"/>
      <c r="F24" s="94"/>
      <c r="G24" s="94"/>
      <c r="H24" s="94"/>
      <c r="I24" s="94"/>
      <c r="J24" s="262"/>
    </row>
    <row r="25" spans="2:10">
      <c r="B25" s="259"/>
      <c r="C25" s="94"/>
      <c r="D25" s="94"/>
      <c r="E25" s="94"/>
      <c r="F25" s="94"/>
      <c r="G25" s="94"/>
      <c r="H25" s="94"/>
      <c r="I25" s="94"/>
      <c r="J25" s="158"/>
    </row>
    <row r="26" spans="2:10">
      <c r="B26" s="259"/>
      <c r="C26" s="94" t="s">
        <v>186</v>
      </c>
      <c r="D26" s="263">
        <f>E12/100/6*E20</f>
        <v>5.3841422296840032E-2</v>
      </c>
      <c r="E26" s="94" t="s">
        <v>13</v>
      </c>
      <c r="F26" s="94"/>
      <c r="G26" s="94"/>
      <c r="H26" s="94"/>
      <c r="I26" s="94"/>
      <c r="J26" s="158"/>
    </row>
    <row r="27" spans="2:10">
      <c r="B27" s="259"/>
      <c r="C27" s="94" t="s">
        <v>350</v>
      </c>
      <c r="D27" s="263">
        <f>D26*3</f>
        <v>0.1615242668905201</v>
      </c>
      <c r="E27" t="s">
        <v>13</v>
      </c>
      <c r="F27" s="260" t="str">
        <f>IF(D27&lt;E20,"Verificata","Non verificata!!!")</f>
        <v>Non verificata!!!</v>
      </c>
      <c r="G27" s="94"/>
      <c r="H27" s="94" t="s">
        <v>9</v>
      </c>
      <c r="I27" s="94"/>
      <c r="J27" s="158"/>
    </row>
    <row r="28" spans="2:10">
      <c r="B28" s="259"/>
      <c r="C28" s="94"/>
      <c r="D28" s="94" t="s">
        <v>9</v>
      </c>
      <c r="E28" s="94"/>
      <c r="F28" s="355"/>
      <c r="G28" s="94"/>
      <c r="H28" s="94"/>
      <c r="I28" s="94"/>
      <c r="J28" s="158"/>
    </row>
    <row r="29" spans="2:10">
      <c r="B29" s="259"/>
      <c r="C29" s="264" t="s">
        <v>30</v>
      </c>
      <c r="D29" s="94"/>
      <c r="E29" s="94"/>
      <c r="F29" s="94"/>
      <c r="G29" s="94"/>
      <c r="H29" s="94"/>
      <c r="I29" s="94"/>
      <c r="J29" s="158"/>
    </row>
    <row r="30" spans="2:10">
      <c r="B30" s="259"/>
      <c r="C30" s="94"/>
      <c r="D30" s="94"/>
      <c r="E30" s="94"/>
      <c r="F30" s="94"/>
      <c r="G30" s="94"/>
      <c r="H30" s="94"/>
      <c r="I30" s="94"/>
      <c r="J30" s="158"/>
    </row>
    <row r="31" spans="2:10">
      <c r="B31" s="259"/>
      <c r="C31" s="94"/>
      <c r="D31" s="94"/>
      <c r="E31" s="94"/>
      <c r="F31" s="94"/>
      <c r="G31" s="94"/>
      <c r="H31" s="94"/>
      <c r="I31" s="94"/>
      <c r="J31" s="158"/>
    </row>
    <row r="32" spans="2:10">
      <c r="B32" s="259"/>
      <c r="C32" s="94"/>
      <c r="D32" s="94"/>
      <c r="E32" s="94"/>
      <c r="F32" s="94"/>
      <c r="G32" s="94"/>
      <c r="H32" s="94"/>
      <c r="I32" s="94"/>
      <c r="J32" s="158"/>
    </row>
    <row r="33" spans="2:15">
      <c r="B33" s="259"/>
      <c r="C33" s="94"/>
      <c r="D33" s="94"/>
      <c r="E33" s="94"/>
      <c r="F33" s="94"/>
      <c r="G33" s="94"/>
      <c r="H33" s="94"/>
      <c r="I33" s="94"/>
      <c r="J33" s="158"/>
    </row>
    <row r="34" spans="2:15">
      <c r="B34" s="259"/>
      <c r="C34" s="94"/>
      <c r="D34" s="94"/>
      <c r="E34" s="94"/>
      <c r="F34" s="94"/>
      <c r="G34" s="94"/>
      <c r="H34" s="94"/>
      <c r="I34" s="94"/>
      <c r="J34" s="158"/>
    </row>
    <row r="35" spans="2:15">
      <c r="B35" s="259"/>
      <c r="C35" s="94"/>
      <c r="D35" s="94"/>
      <c r="E35" s="94"/>
      <c r="F35" s="94"/>
      <c r="G35" s="94"/>
      <c r="H35" s="94"/>
      <c r="I35" s="94"/>
      <c r="J35" s="158"/>
    </row>
    <row r="36" spans="2:15">
      <c r="B36" s="259"/>
      <c r="C36" s="94"/>
      <c r="D36" s="94"/>
      <c r="E36" s="94"/>
      <c r="F36" s="236" t="s">
        <v>143</v>
      </c>
      <c r="G36" s="94"/>
      <c r="H36" s="94"/>
      <c r="I36" s="94"/>
      <c r="J36" s="158"/>
    </row>
    <row r="37" spans="2:15">
      <c r="B37" s="259"/>
      <c r="C37" s="235" t="s">
        <v>410</v>
      </c>
      <c r="D37" s="235" t="s">
        <v>183</v>
      </c>
      <c r="E37" s="410">
        <f>$E$10/(100*$E$12)*(1+(6*$E$20/$E$12))</f>
        <v>0.30921958363139695</v>
      </c>
      <c r="F37" s="235" t="s">
        <v>409</v>
      </c>
      <c r="G37" s="94"/>
      <c r="H37" s="94"/>
      <c r="I37" s="94"/>
      <c r="J37" s="158"/>
    </row>
    <row r="38" spans="2:15">
      <c r="B38" s="259"/>
      <c r="C38" s="235" t="s">
        <v>179</v>
      </c>
      <c r="D38" s="416" t="s">
        <v>184</v>
      </c>
      <c r="E38" s="402">
        <f>E13/E37</f>
        <v>4.8509217378290783</v>
      </c>
      <c r="F38" s="235" t="s">
        <v>149</v>
      </c>
      <c r="G38" s="94"/>
      <c r="H38" s="94"/>
      <c r="I38" s="94"/>
      <c r="J38" s="158"/>
    </row>
    <row r="39" spans="2:15">
      <c r="B39" s="259"/>
      <c r="C39" s="94"/>
      <c r="D39" s="416" t="s">
        <v>170</v>
      </c>
      <c r="E39" s="402">
        <v>2</v>
      </c>
      <c r="F39" s="235" t="s">
        <v>149</v>
      </c>
      <c r="G39" s="260" t="str">
        <f>IF(E39&lt;E38,"Verificata","Non verificata!!!")</f>
        <v>Verificata</v>
      </c>
      <c r="H39" s="260"/>
      <c r="I39" s="260"/>
      <c r="J39" s="158"/>
    </row>
    <row r="40" spans="2:15">
      <c r="B40" s="259"/>
      <c r="C40" s="94"/>
      <c r="D40" s="94"/>
      <c r="E40" s="94"/>
      <c r="F40" s="94"/>
      <c r="G40" s="94"/>
      <c r="H40" s="94"/>
      <c r="I40" s="94"/>
      <c r="J40" s="158"/>
    </row>
    <row r="41" spans="2:15" ht="15.75" thickBot="1">
      <c r="B41" s="261"/>
      <c r="C41" s="212"/>
      <c r="D41" s="212"/>
      <c r="E41" s="212"/>
      <c r="F41" s="212"/>
      <c r="G41" s="212"/>
      <c r="H41" s="212"/>
      <c r="I41" s="212"/>
      <c r="J41" s="175"/>
    </row>
    <row r="44" spans="2:15" ht="15.75" thickBot="1"/>
    <row r="45" spans="2:15" ht="15.75" thickBot="1">
      <c r="B45" s="266" t="s">
        <v>272</v>
      </c>
      <c r="C45" s="205"/>
      <c r="D45" s="205"/>
      <c r="E45" s="205"/>
      <c r="F45" s="205"/>
      <c r="G45" s="205"/>
      <c r="H45" s="205"/>
      <c r="I45" s="205"/>
      <c r="J45" s="170"/>
    </row>
    <row r="46" spans="2:15" ht="18">
      <c r="B46" s="259"/>
      <c r="C46" s="94"/>
      <c r="D46" s="94"/>
      <c r="E46" s="94"/>
      <c r="F46" s="234" t="s">
        <v>142</v>
      </c>
      <c r="G46" s="94"/>
      <c r="H46" s="94"/>
      <c r="I46" s="94"/>
      <c r="J46" s="158"/>
      <c r="L46" s="103" t="s">
        <v>63</v>
      </c>
      <c r="M46" s="104" t="s">
        <v>64</v>
      </c>
      <c r="N46" s="104" t="s">
        <v>65</v>
      </c>
      <c r="O46" s="105" t="s">
        <v>66</v>
      </c>
    </row>
    <row r="47" spans="2:15" ht="15.75" thickBot="1">
      <c r="B47" s="259"/>
      <c r="C47" s="233" t="s">
        <v>260</v>
      </c>
      <c r="D47" s="411" t="s">
        <v>261</v>
      </c>
      <c r="E47" s="365">
        <v>150</v>
      </c>
      <c r="F47" s="234" t="s">
        <v>393</v>
      </c>
      <c r="G47" s="94"/>
      <c r="H47" s="94"/>
      <c r="I47" s="94"/>
      <c r="J47" s="158"/>
      <c r="L47" s="106" t="s">
        <v>67</v>
      </c>
      <c r="M47" s="107" t="s">
        <v>68</v>
      </c>
      <c r="N47" s="107" t="s">
        <v>69</v>
      </c>
      <c r="O47" s="108" t="s">
        <v>70</v>
      </c>
    </row>
    <row r="48" spans="2:15" ht="18.75" thickBot="1">
      <c r="B48" s="259"/>
      <c r="C48" s="233" t="s">
        <v>130</v>
      </c>
      <c r="D48" s="358" t="s">
        <v>353</v>
      </c>
      <c r="E48" s="365">
        <v>1900</v>
      </c>
      <c r="F48" s="234" t="s">
        <v>456</v>
      </c>
      <c r="G48" s="94"/>
      <c r="H48" s="94"/>
      <c r="I48" s="94"/>
      <c r="J48" s="158"/>
      <c r="L48" s="109">
        <v>0</v>
      </c>
      <c r="M48" s="108">
        <v>5.14</v>
      </c>
      <c r="N48" s="108">
        <v>0</v>
      </c>
      <c r="O48" s="108">
        <v>0</v>
      </c>
    </row>
    <row r="49" spans="2:15" ht="15.75" thickBot="1">
      <c r="B49" s="259"/>
      <c r="C49" s="233" t="s">
        <v>259</v>
      </c>
      <c r="D49" s="359" t="s">
        <v>134</v>
      </c>
      <c r="E49" s="365">
        <v>2</v>
      </c>
      <c r="F49" s="234" t="s">
        <v>13</v>
      </c>
      <c r="G49" s="94"/>
      <c r="H49" s="94"/>
      <c r="I49" s="94"/>
      <c r="J49" s="158"/>
      <c r="L49" s="109">
        <v>2</v>
      </c>
      <c r="M49" s="108">
        <v>5.63</v>
      </c>
      <c r="N49" s="108">
        <v>1.2</v>
      </c>
      <c r="O49" s="108">
        <v>0.01</v>
      </c>
    </row>
    <row r="50" spans="2:15" ht="18" thickBot="1">
      <c r="B50" s="259"/>
      <c r="C50" s="233" t="s">
        <v>220</v>
      </c>
      <c r="D50" s="359" t="s">
        <v>221</v>
      </c>
      <c r="E50" s="365">
        <v>1100</v>
      </c>
      <c r="F50" s="234" t="s">
        <v>403</v>
      </c>
      <c r="G50" s="94"/>
      <c r="H50" s="94"/>
      <c r="I50" s="94"/>
      <c r="J50" s="158"/>
      <c r="L50" s="109">
        <v>4</v>
      </c>
      <c r="M50" s="108">
        <v>6.18</v>
      </c>
      <c r="N50" s="108">
        <v>1.43</v>
      </c>
      <c r="O50" s="108">
        <v>0.05</v>
      </c>
    </row>
    <row r="51" spans="2:15" ht="15.75" thickBot="1">
      <c r="B51" s="259"/>
      <c r="C51" s="233" t="s">
        <v>135</v>
      </c>
      <c r="D51" s="358" t="s">
        <v>126</v>
      </c>
      <c r="E51" s="365">
        <v>10</v>
      </c>
      <c r="F51" s="234" t="s">
        <v>20</v>
      </c>
      <c r="G51" s="94"/>
      <c r="H51" s="94"/>
      <c r="I51" s="94"/>
      <c r="J51" s="158"/>
      <c r="L51" s="109">
        <v>6</v>
      </c>
      <c r="M51" s="108">
        <v>6.81</v>
      </c>
      <c r="N51" s="108">
        <v>1.72</v>
      </c>
      <c r="O51" s="108">
        <v>0.13</v>
      </c>
    </row>
    <row r="52" spans="2:15" ht="18.75" thickBot="1">
      <c r="B52" s="259"/>
      <c r="C52" s="233" t="s">
        <v>266</v>
      </c>
      <c r="D52" s="359" t="s">
        <v>265</v>
      </c>
      <c r="E52" s="365">
        <v>1</v>
      </c>
      <c r="F52" s="234" t="s">
        <v>149</v>
      </c>
      <c r="G52" s="94"/>
      <c r="H52" s="94"/>
      <c r="I52" s="94"/>
      <c r="J52" s="158"/>
      <c r="L52" s="109">
        <v>8</v>
      </c>
      <c r="M52" s="108">
        <v>7.52</v>
      </c>
      <c r="N52" s="108">
        <v>2.06</v>
      </c>
      <c r="O52" s="108">
        <v>0.27</v>
      </c>
    </row>
    <row r="53" spans="2:15" ht="18.75" thickBot="1">
      <c r="B53" s="259"/>
      <c r="C53" s="233" t="s">
        <v>266</v>
      </c>
      <c r="D53" s="359" t="s">
        <v>264</v>
      </c>
      <c r="E53" s="365">
        <v>1</v>
      </c>
      <c r="F53" s="234" t="s">
        <v>149</v>
      </c>
      <c r="G53" s="94"/>
      <c r="H53" s="94"/>
      <c r="I53" s="94"/>
      <c r="J53" s="158"/>
      <c r="L53" s="109">
        <v>10</v>
      </c>
      <c r="M53" s="108">
        <v>8.34</v>
      </c>
      <c r="N53" s="108">
        <v>2.4700000000000002</v>
      </c>
      <c r="O53" s="108">
        <v>0.47</v>
      </c>
    </row>
    <row r="54" spans="2:15" ht="15.75" thickBot="1">
      <c r="B54" s="259"/>
      <c r="C54" s="94"/>
      <c r="D54" s="94"/>
      <c r="E54" s="94"/>
      <c r="F54" s="94"/>
      <c r="G54" s="94"/>
      <c r="H54" s="94"/>
      <c r="I54" s="94"/>
      <c r="J54" s="158"/>
      <c r="L54" s="109">
        <v>12</v>
      </c>
      <c r="M54" s="108">
        <v>9.2799999999999994</v>
      </c>
      <c r="N54" s="108">
        <v>2.97</v>
      </c>
      <c r="O54" s="108">
        <v>0.75</v>
      </c>
    </row>
    <row r="55" spans="2:15" ht="15.75" thickBot="1">
      <c r="B55" s="259"/>
      <c r="C55" s="94"/>
      <c r="D55" s="94"/>
      <c r="E55" s="94"/>
      <c r="F55" s="94"/>
      <c r="G55" s="94"/>
      <c r="H55" s="94"/>
      <c r="I55" s="94"/>
      <c r="J55" s="158"/>
      <c r="L55" s="109">
        <v>14</v>
      </c>
      <c r="M55" s="108">
        <v>10.37</v>
      </c>
      <c r="N55" s="108">
        <v>3.59</v>
      </c>
      <c r="O55" s="108">
        <v>1.1599999999999999</v>
      </c>
    </row>
    <row r="56" spans="2:15" ht="15.75" thickBot="1">
      <c r="B56" s="259"/>
      <c r="C56" s="94"/>
      <c r="D56" s="94"/>
      <c r="E56" s="94"/>
      <c r="F56" s="94"/>
      <c r="G56" s="94"/>
      <c r="H56" s="94"/>
      <c r="I56" s="94"/>
      <c r="J56" s="158"/>
      <c r="L56" s="109">
        <v>16</v>
      </c>
      <c r="M56" s="108">
        <v>11.63</v>
      </c>
      <c r="N56" s="108">
        <v>4.33</v>
      </c>
      <c r="O56" s="108">
        <v>1.72</v>
      </c>
    </row>
    <row r="57" spans="2:15" ht="15.75" thickBot="1">
      <c r="B57" s="259"/>
      <c r="C57" s="94"/>
      <c r="D57" s="94"/>
      <c r="E57" s="94"/>
      <c r="F57" s="94"/>
      <c r="G57" s="94"/>
      <c r="H57" s="94"/>
      <c r="I57" s="94"/>
      <c r="J57" s="158"/>
      <c r="L57" s="109">
        <v>18</v>
      </c>
      <c r="M57" s="108">
        <v>13.1</v>
      </c>
      <c r="N57" s="108">
        <v>5.26</v>
      </c>
      <c r="O57" s="108">
        <v>2.4900000000000002</v>
      </c>
    </row>
    <row r="58" spans="2:15" ht="15.75" thickBot="1">
      <c r="B58" s="259"/>
      <c r="C58" s="94"/>
      <c r="D58" s="94"/>
      <c r="E58" s="94"/>
      <c r="F58" s="94"/>
      <c r="G58" s="94"/>
      <c r="H58" s="94"/>
      <c r="I58" s="94"/>
      <c r="J58" s="158"/>
      <c r="L58" s="109">
        <v>20</v>
      </c>
      <c r="M58" s="108">
        <v>14.83</v>
      </c>
      <c r="N58" s="108">
        <v>6.4</v>
      </c>
      <c r="O58" s="108">
        <v>3.54</v>
      </c>
    </row>
    <row r="59" spans="2:15" ht="15.75" thickBot="1">
      <c r="B59" s="259"/>
      <c r="C59" s="94"/>
      <c r="D59" s="94"/>
      <c r="E59" s="94"/>
      <c r="F59" s="94"/>
      <c r="G59" s="94"/>
      <c r="H59" s="94"/>
      <c r="I59" s="94"/>
      <c r="J59" s="158"/>
      <c r="L59" s="109">
        <v>22</v>
      </c>
      <c r="M59" s="108">
        <v>16.88</v>
      </c>
      <c r="N59" s="108">
        <v>7.82</v>
      </c>
      <c r="O59" s="108">
        <v>4.96</v>
      </c>
    </row>
    <row r="60" spans="2:15" ht="15.75" thickBot="1">
      <c r="B60" s="259"/>
      <c r="C60" s="94"/>
      <c r="D60" s="94"/>
      <c r="E60" s="94"/>
      <c r="F60" s="94"/>
      <c r="G60" s="94"/>
      <c r="H60" s="94"/>
      <c r="I60" s="94"/>
      <c r="J60" s="158"/>
      <c r="L60" s="109">
        <v>24</v>
      </c>
      <c r="M60" s="108">
        <v>19.32</v>
      </c>
      <c r="N60" s="108">
        <v>9.6</v>
      </c>
      <c r="O60" s="108">
        <v>6.89</v>
      </c>
    </row>
    <row r="61" spans="2:15" ht="15.75" thickBot="1">
      <c r="B61" s="259"/>
      <c r="C61" s="94"/>
      <c r="D61" s="94"/>
      <c r="E61" s="94"/>
      <c r="F61" s="236" t="s">
        <v>143</v>
      </c>
      <c r="G61" s="94"/>
      <c r="H61" s="94"/>
      <c r="I61" s="94"/>
      <c r="J61" s="158"/>
      <c r="L61" s="109">
        <v>26</v>
      </c>
      <c r="M61" s="108">
        <v>22.25</v>
      </c>
      <c r="N61" s="108">
        <v>11.85</v>
      </c>
      <c r="O61" s="108">
        <v>9.35</v>
      </c>
    </row>
    <row r="62" spans="2:15" ht="15.75" thickBot="1">
      <c r="B62" s="259"/>
      <c r="C62" s="235" t="s">
        <v>263</v>
      </c>
      <c r="D62" s="402" t="s">
        <v>411</v>
      </c>
      <c r="E62" s="410">
        <f>0.5*$E$48*$E$49*$O$53*$E$52+$E$47*$M$53*$E$53+$E$50*$N$53</f>
        <v>4861</v>
      </c>
      <c r="F62" s="235" t="s">
        <v>412</v>
      </c>
      <c r="G62" s="260" t="str">
        <f>IF(E50&lt;E62,"Verificata","Non verificata!!!")</f>
        <v>Verificata</v>
      </c>
      <c r="H62" s="94"/>
      <c r="I62" s="94"/>
      <c r="J62" s="158"/>
      <c r="L62" s="109">
        <v>28</v>
      </c>
      <c r="M62" s="108">
        <v>25.8</v>
      </c>
      <c r="N62" s="108">
        <v>14.72</v>
      </c>
      <c r="O62" s="108">
        <v>13.13</v>
      </c>
    </row>
    <row r="63" spans="2:15" ht="15.75" thickBot="1">
      <c r="B63" s="259"/>
      <c r="C63" s="94"/>
      <c r="D63" s="417"/>
      <c r="E63" s="417"/>
      <c r="F63" s="94"/>
      <c r="G63" s="94"/>
      <c r="H63" s="94"/>
      <c r="I63" s="94"/>
      <c r="J63" s="158"/>
      <c r="L63" s="109">
        <v>30</v>
      </c>
      <c r="M63" s="108">
        <v>30.14</v>
      </c>
      <c r="N63" s="108">
        <v>18.399999999999999</v>
      </c>
      <c r="O63" s="108">
        <v>18.079999999999998</v>
      </c>
    </row>
    <row r="64" spans="2:15" ht="18" thickBot="1">
      <c r="B64" s="259"/>
      <c r="C64" s="94" t="s">
        <v>453</v>
      </c>
      <c r="D64" s="94"/>
      <c r="E64" s="94"/>
      <c r="F64" s="94"/>
      <c r="G64" s="94"/>
      <c r="H64" s="94"/>
      <c r="I64" s="94"/>
      <c r="J64" s="158"/>
      <c r="L64" s="109">
        <v>32</v>
      </c>
      <c r="M64" s="108">
        <v>35.49</v>
      </c>
      <c r="N64" s="108">
        <v>23.18</v>
      </c>
      <c r="O64" s="108">
        <v>24.94</v>
      </c>
    </row>
    <row r="65" spans="2:15" ht="15.75" thickBot="1">
      <c r="B65" s="261"/>
      <c r="C65" s="212"/>
      <c r="D65" s="212"/>
      <c r="E65" s="212"/>
      <c r="F65" s="212"/>
      <c r="G65" s="212"/>
      <c r="H65" s="212"/>
      <c r="I65" s="212"/>
      <c r="J65" s="175"/>
      <c r="L65" s="109">
        <v>34</v>
      </c>
      <c r="M65" s="108">
        <v>42.16</v>
      </c>
      <c r="N65" s="108">
        <v>29.44</v>
      </c>
      <c r="O65" s="108">
        <v>34.53</v>
      </c>
    </row>
    <row r="66" spans="2:15" ht="15.75" thickBot="1">
      <c r="L66" s="109">
        <v>36</v>
      </c>
      <c r="M66" s="108">
        <v>50.58</v>
      </c>
      <c r="N66" s="108">
        <v>37.75</v>
      </c>
      <c r="O66" s="108">
        <v>48.06</v>
      </c>
    </row>
    <row r="67" spans="2:15" ht="15.75" thickBot="1">
      <c r="L67" s="109">
        <v>38</v>
      </c>
      <c r="M67" s="108">
        <v>61.35</v>
      </c>
      <c r="N67" s="108">
        <v>48.93</v>
      </c>
      <c r="O67" s="108">
        <v>67.41</v>
      </c>
    </row>
    <row r="68" spans="2:15" ht="15.75" thickBot="1">
      <c r="L68" s="109">
        <v>40</v>
      </c>
      <c r="M68" s="108">
        <v>75.31</v>
      </c>
      <c r="N68" s="108">
        <v>64.19</v>
      </c>
      <c r="O68" s="108">
        <v>95.45</v>
      </c>
    </row>
  </sheetData>
  <phoneticPr fontId="0" type="noConversion"/>
  <pageMargins left="0.7" right="0.7" top="0.75" bottom="0.75" header="0.3" footer="0.3"/>
  <pageSetup paperSize="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dimension ref="A1:V69"/>
  <sheetViews>
    <sheetView zoomScale="85" workbookViewId="0">
      <selection activeCell="K11" sqref="K11"/>
    </sheetView>
  </sheetViews>
  <sheetFormatPr defaultRowHeight="15.75"/>
  <cols>
    <col min="3" max="3" width="16.5703125" style="73" customWidth="1"/>
    <col min="4" max="4" width="23.85546875" style="73" customWidth="1"/>
    <col min="5" max="5" width="13.5703125" style="73" customWidth="1"/>
    <col min="6" max="6" width="12.140625" style="73" customWidth="1"/>
    <col min="7" max="7" width="13.28515625" style="73" customWidth="1"/>
    <col min="8" max="8" width="11" style="74" customWidth="1"/>
    <col min="9" max="9" width="17.42578125" style="73" customWidth="1"/>
    <col min="10" max="11" width="9.140625" style="73"/>
    <col min="12" max="12" width="9.140625" style="75"/>
    <col min="13" max="13" width="9.140625" style="72"/>
  </cols>
  <sheetData>
    <row r="1" spans="1:17" ht="16.5" thickBot="1">
      <c r="A1" s="253" t="s">
        <v>7</v>
      </c>
      <c r="B1" s="10"/>
      <c r="C1" s="22"/>
      <c r="D1" s="22"/>
      <c r="E1" s="22"/>
      <c r="F1" s="22"/>
      <c r="G1" s="22"/>
      <c r="H1" s="23"/>
      <c r="I1" s="22"/>
      <c r="J1" s="22"/>
      <c r="K1" s="22"/>
      <c r="L1" s="24"/>
      <c r="M1" s="25"/>
      <c r="N1" s="10"/>
      <c r="O1" s="10"/>
      <c r="P1" s="10"/>
      <c r="Q1" s="16"/>
    </row>
    <row r="2" spans="1:17">
      <c r="A2" s="231"/>
      <c r="B2" s="14"/>
      <c r="C2" s="26"/>
      <c r="D2" s="418" t="s">
        <v>40</v>
      </c>
      <c r="E2" s="419"/>
      <c r="F2" s="419"/>
      <c r="G2" s="419"/>
      <c r="H2" s="420"/>
      <c r="I2" s="421"/>
      <c r="J2" s="27"/>
      <c r="K2" s="27"/>
      <c r="L2" s="28"/>
      <c r="M2" s="29"/>
      <c r="N2" s="14"/>
      <c r="O2" s="14"/>
      <c r="P2" s="14"/>
      <c r="Q2" s="17"/>
    </row>
    <row r="3" spans="1:17" ht="19.5" thickBot="1">
      <c r="A3" s="13"/>
      <c r="B3" s="14"/>
      <c r="C3" s="27"/>
      <c r="D3" s="422" t="s">
        <v>41</v>
      </c>
      <c r="E3" s="88"/>
      <c r="F3" s="88"/>
      <c r="G3" s="88"/>
      <c r="H3" s="423"/>
      <c r="I3" s="89"/>
      <c r="J3" s="14"/>
      <c r="K3" s="14"/>
      <c r="L3" s="14"/>
      <c r="M3" s="14"/>
      <c r="N3" s="14"/>
      <c r="O3" s="14"/>
      <c r="P3" s="14"/>
      <c r="Q3" s="17"/>
    </row>
    <row r="4" spans="1:17">
      <c r="A4" s="13"/>
      <c r="B4" s="14"/>
      <c r="C4" s="27"/>
      <c r="D4" s="27"/>
      <c r="E4" s="27"/>
      <c r="F4" s="27"/>
      <c r="G4" s="27"/>
      <c r="H4" s="30"/>
      <c r="I4" s="27"/>
      <c r="J4" s="27"/>
      <c r="K4" s="27"/>
      <c r="L4" s="28"/>
      <c r="M4" s="29"/>
      <c r="N4" s="14"/>
      <c r="O4" s="14"/>
      <c r="P4" s="14"/>
      <c r="Q4" s="17"/>
    </row>
    <row r="5" spans="1:17">
      <c r="A5" s="346" t="s">
        <v>287</v>
      </c>
      <c r="B5" s="231"/>
      <c r="C5" s="231"/>
      <c r="D5" s="27"/>
      <c r="E5" s="27"/>
      <c r="F5" s="27"/>
      <c r="G5" s="27"/>
      <c r="H5" s="30"/>
      <c r="I5" s="27"/>
      <c r="J5" s="27"/>
      <c r="K5" s="27"/>
      <c r="L5" s="28"/>
      <c r="M5" s="29"/>
      <c r="N5" s="14"/>
      <c r="O5" s="14"/>
      <c r="P5" s="14"/>
      <c r="Q5" s="17"/>
    </row>
    <row r="6" spans="1:17">
      <c r="A6" s="347"/>
      <c r="B6" s="231"/>
      <c r="C6" s="231"/>
      <c r="D6" s="27"/>
      <c r="E6" s="27"/>
      <c r="F6" s="27"/>
      <c r="G6" s="27"/>
      <c r="H6" s="30"/>
      <c r="I6" s="27"/>
      <c r="J6" s="27"/>
      <c r="K6" s="27"/>
      <c r="L6" s="28"/>
      <c r="M6" s="29"/>
      <c r="N6" s="14"/>
      <c r="O6" s="14"/>
      <c r="P6" s="14"/>
      <c r="Q6" s="17"/>
    </row>
    <row r="7" spans="1:17">
      <c r="A7" s="231"/>
      <c r="B7" s="4"/>
      <c r="C7" s="347" t="s">
        <v>288</v>
      </c>
      <c r="D7" s="27"/>
      <c r="E7" s="27"/>
      <c r="F7" s="27"/>
      <c r="G7" s="27"/>
      <c r="H7" s="30"/>
      <c r="I7" s="27"/>
      <c r="J7" s="27"/>
      <c r="K7" s="27"/>
      <c r="L7" s="28"/>
      <c r="M7" s="29"/>
      <c r="N7" s="14"/>
      <c r="O7" s="14"/>
      <c r="P7" s="14"/>
      <c r="Q7" s="17"/>
    </row>
    <row r="8" spans="1:17">
      <c r="A8" s="14"/>
      <c r="B8" s="14"/>
      <c r="C8" s="27"/>
      <c r="D8" s="27"/>
      <c r="E8" s="27"/>
      <c r="F8" s="27"/>
      <c r="G8" s="27"/>
      <c r="H8" s="30"/>
      <c r="I8" s="27"/>
      <c r="J8" s="27"/>
      <c r="K8" s="27"/>
      <c r="L8" s="28"/>
      <c r="M8" s="29"/>
      <c r="N8" s="14"/>
      <c r="O8" s="14"/>
      <c r="P8" s="14"/>
      <c r="Q8" s="17"/>
    </row>
    <row r="9" spans="1:17" ht="16.5" thickBot="1">
      <c r="A9" s="13"/>
      <c r="B9" s="27"/>
      <c r="C9" s="27"/>
      <c r="D9" s="27"/>
      <c r="E9" s="27"/>
      <c r="F9" s="27"/>
      <c r="G9" s="27"/>
      <c r="H9" s="30"/>
      <c r="I9" s="27"/>
      <c r="J9" s="27"/>
      <c r="K9" s="27"/>
      <c r="L9" s="28"/>
      <c r="M9" s="29"/>
      <c r="N9" s="14"/>
      <c r="O9" s="14"/>
      <c r="P9" s="14"/>
      <c r="Q9" s="17"/>
    </row>
    <row r="10" spans="1:17" ht="57" customHeight="1" thickBot="1">
      <c r="A10" s="13"/>
      <c r="B10" s="14"/>
      <c r="C10" s="27"/>
      <c r="D10" s="31" t="s">
        <v>42</v>
      </c>
      <c r="E10" s="31" t="s">
        <v>43</v>
      </c>
      <c r="F10" s="31" t="s">
        <v>44</v>
      </c>
      <c r="G10" s="31" t="s">
        <v>45</v>
      </c>
      <c r="H10" s="31" t="s">
        <v>413</v>
      </c>
      <c r="I10" s="27"/>
      <c r="J10" s="27"/>
      <c r="K10" s="27"/>
      <c r="L10" s="28"/>
      <c r="M10" s="29"/>
      <c r="N10" s="14"/>
      <c r="O10" s="14"/>
      <c r="P10" s="14"/>
      <c r="Q10" s="17"/>
    </row>
    <row r="11" spans="1:17" ht="16.5" thickBot="1">
      <c r="A11" s="13"/>
      <c r="B11" s="14"/>
      <c r="C11" s="27"/>
      <c r="D11" s="265">
        <v>28</v>
      </c>
      <c r="E11" s="33">
        <f>SUM(45,-$D$11/2)</f>
        <v>31</v>
      </c>
      <c r="F11" s="34">
        <f>RADIANS($E$11)</f>
        <v>0.54105206811824214</v>
      </c>
      <c r="G11" s="33">
        <f>TAN($F$11)</f>
        <v>0.60086061902756038</v>
      </c>
      <c r="H11" s="35">
        <f>POWER($G$11,2)</f>
        <v>0.36103348349818304</v>
      </c>
      <c r="I11" s="27"/>
      <c r="J11" s="27"/>
      <c r="K11" s="27"/>
      <c r="L11" s="28"/>
      <c r="M11" s="29"/>
      <c r="N11" s="14"/>
      <c r="O11" s="14"/>
      <c r="P11" s="14"/>
      <c r="Q11" s="17"/>
    </row>
    <row r="12" spans="1:17" ht="82.5" customHeight="1" thickBot="1">
      <c r="A12" s="13"/>
      <c r="B12" s="14"/>
      <c r="C12" s="27"/>
      <c r="D12" s="31" t="s">
        <v>47</v>
      </c>
      <c r="E12" s="31" t="s">
        <v>48</v>
      </c>
      <c r="F12" s="31" t="s">
        <v>49</v>
      </c>
      <c r="G12" s="31" t="s">
        <v>50</v>
      </c>
      <c r="H12" s="31" t="s">
        <v>51</v>
      </c>
      <c r="I12" s="31" t="s">
        <v>52</v>
      </c>
      <c r="J12" s="27"/>
      <c r="K12" s="27"/>
      <c r="L12" s="28"/>
      <c r="M12" s="29"/>
      <c r="N12" s="14"/>
      <c r="O12" s="14"/>
      <c r="P12" s="14"/>
      <c r="Q12" s="17"/>
    </row>
    <row r="13" spans="1:17" ht="16.5" thickBot="1">
      <c r="A13" s="13"/>
      <c r="B13" s="14"/>
      <c r="C13" s="27"/>
      <c r="D13" s="265">
        <v>0</v>
      </c>
      <c r="E13" s="36">
        <f>RADIANS($D$13)</f>
        <v>0</v>
      </c>
      <c r="F13" s="37">
        <f>COS($E$13)</f>
        <v>1</v>
      </c>
      <c r="G13" s="38">
        <f>POWER($F$13,2)</f>
        <v>1</v>
      </c>
      <c r="H13" s="38">
        <f>TAN($E$13)</f>
        <v>0</v>
      </c>
      <c r="I13" s="38">
        <f>POWER($H$13,2)</f>
        <v>0</v>
      </c>
      <c r="J13" s="27"/>
      <c r="K13" s="27"/>
      <c r="L13" s="28"/>
      <c r="M13" s="29"/>
      <c r="N13" s="14"/>
      <c r="O13" s="14"/>
      <c r="P13" s="14"/>
      <c r="Q13" s="17"/>
    </row>
    <row r="14" spans="1:17" ht="45" customHeight="1" thickBot="1">
      <c r="A14" s="13"/>
      <c r="B14" s="14"/>
      <c r="C14" s="27"/>
      <c r="D14" s="31" t="s">
        <v>414</v>
      </c>
      <c r="E14" s="39"/>
      <c r="F14" s="39"/>
      <c r="G14" s="39"/>
      <c r="H14" s="39"/>
      <c r="I14" s="27"/>
      <c r="J14" s="27"/>
      <c r="K14" s="27"/>
      <c r="L14" s="28"/>
      <c r="M14" s="29"/>
      <c r="N14" s="14"/>
      <c r="O14" s="14"/>
      <c r="P14" s="14"/>
      <c r="Q14" s="17"/>
    </row>
    <row r="15" spans="1:17" ht="16.5" thickBot="1">
      <c r="A15" s="13"/>
      <c r="B15" s="14"/>
      <c r="C15" s="27"/>
      <c r="D15" s="265">
        <v>1.5</v>
      </c>
      <c r="E15" s="27"/>
      <c r="F15" s="27"/>
      <c r="G15" s="27"/>
      <c r="H15" s="30"/>
      <c r="I15" s="27"/>
      <c r="J15" s="27"/>
      <c r="K15" s="27"/>
      <c r="L15" s="28"/>
      <c r="M15" s="29"/>
      <c r="N15" s="14"/>
      <c r="O15" s="14"/>
      <c r="P15" s="14"/>
      <c r="Q15" s="17"/>
    </row>
    <row r="16" spans="1:17" ht="48" customHeight="1" thickBot="1">
      <c r="A16" s="13"/>
      <c r="B16" s="14"/>
      <c r="C16" s="27"/>
      <c r="D16" s="31" t="s">
        <v>448</v>
      </c>
      <c r="E16" s="39"/>
      <c r="F16" s="39"/>
      <c r="G16" s="39"/>
      <c r="H16" s="39"/>
      <c r="I16" s="27"/>
      <c r="J16" s="27"/>
      <c r="K16" s="27"/>
      <c r="L16" s="28"/>
      <c r="M16" s="29"/>
      <c r="N16" s="14"/>
      <c r="O16" s="14"/>
      <c r="P16" s="14"/>
      <c r="Q16" s="17"/>
    </row>
    <row r="17" spans="1:17" ht="16.5" thickBot="1">
      <c r="A17" s="13"/>
      <c r="B17" s="14"/>
      <c r="C17" s="27"/>
      <c r="D17" s="265">
        <v>20</v>
      </c>
      <c r="E17" s="27"/>
      <c r="F17" s="26"/>
      <c r="G17" s="27"/>
      <c r="H17" s="30"/>
      <c r="I17" s="27"/>
      <c r="J17" s="27"/>
      <c r="K17" s="27"/>
      <c r="L17" s="28"/>
      <c r="M17" s="29"/>
      <c r="N17" s="14"/>
      <c r="O17" s="14"/>
      <c r="P17" s="14"/>
      <c r="Q17" s="17"/>
    </row>
    <row r="18" spans="1:17" ht="47.25" customHeight="1" thickBot="1">
      <c r="A18" s="13"/>
      <c r="B18" s="14"/>
      <c r="C18" s="27"/>
      <c r="D18" s="31" t="s">
        <v>447</v>
      </c>
      <c r="E18" s="39"/>
      <c r="F18" s="39"/>
      <c r="G18" s="39"/>
      <c r="H18" s="39"/>
      <c r="I18" s="27"/>
      <c r="J18" s="27"/>
      <c r="K18" s="27"/>
      <c r="L18" s="28"/>
      <c r="M18" s="29"/>
      <c r="N18" s="14"/>
      <c r="O18" s="14"/>
      <c r="P18" s="14"/>
      <c r="Q18" s="17"/>
    </row>
    <row r="19" spans="1:17" ht="16.5" thickBot="1">
      <c r="A19" s="13"/>
      <c r="B19" s="14"/>
      <c r="C19" s="27"/>
      <c r="D19" s="265">
        <v>19</v>
      </c>
      <c r="E19" s="475" t="s">
        <v>53</v>
      </c>
      <c r="F19" s="476"/>
      <c r="G19" s="476"/>
      <c r="H19" s="476"/>
      <c r="I19" s="477"/>
      <c r="J19" s="27"/>
      <c r="K19" s="27"/>
      <c r="L19" s="28"/>
      <c r="M19" s="29"/>
      <c r="N19" s="14"/>
      <c r="O19" s="14"/>
      <c r="P19" s="14"/>
      <c r="Q19" s="17"/>
    </row>
    <row r="20" spans="1:17" ht="57.75" customHeight="1" thickBot="1">
      <c r="A20" s="13"/>
      <c r="B20" s="14"/>
      <c r="C20" s="27"/>
      <c r="D20" s="31" t="s">
        <v>415</v>
      </c>
      <c r="E20" s="27"/>
      <c r="F20" s="27"/>
      <c r="G20" s="27"/>
      <c r="H20" s="30"/>
      <c r="I20" s="27"/>
      <c r="J20" s="27"/>
      <c r="K20" s="27"/>
      <c r="L20" s="28"/>
      <c r="M20" s="29"/>
      <c r="N20" s="14"/>
      <c r="O20" s="14"/>
      <c r="P20" s="14"/>
      <c r="Q20" s="17"/>
    </row>
    <row r="21" spans="1:17" ht="16.5" thickBot="1">
      <c r="A21" s="13"/>
      <c r="B21" s="14"/>
      <c r="C21" s="27"/>
      <c r="D21" s="265">
        <v>1.8</v>
      </c>
      <c r="E21" s="27"/>
      <c r="F21" s="27"/>
      <c r="G21" s="27"/>
      <c r="H21" s="30"/>
      <c r="I21" s="27"/>
      <c r="J21" s="27"/>
      <c r="K21" s="27"/>
      <c r="L21" s="28"/>
      <c r="M21" s="29"/>
      <c r="N21" s="14"/>
      <c r="O21" s="14"/>
      <c r="P21" s="14"/>
      <c r="Q21" s="17"/>
    </row>
    <row r="22" spans="1:17" ht="49.5" customHeight="1" thickBot="1">
      <c r="A22" s="13"/>
      <c r="B22" s="14"/>
      <c r="C22" s="27"/>
      <c r="D22" s="31" t="s">
        <v>54</v>
      </c>
      <c r="E22" s="27"/>
      <c r="F22" s="27"/>
      <c r="G22" s="27"/>
      <c r="H22" s="30"/>
      <c r="I22" s="27"/>
      <c r="J22" s="27"/>
      <c r="K22" s="27"/>
      <c r="L22" s="28"/>
      <c r="M22" s="29"/>
      <c r="N22" s="14"/>
      <c r="O22" s="14"/>
      <c r="P22" s="14"/>
      <c r="Q22" s="17"/>
    </row>
    <row r="23" spans="1:17" ht="16.5" thickBot="1">
      <c r="A23" s="13"/>
      <c r="B23" s="14"/>
      <c r="C23" s="27"/>
      <c r="D23" s="265">
        <v>0.75</v>
      </c>
      <c r="E23" s="27"/>
      <c r="F23" s="27"/>
      <c r="G23" s="27"/>
      <c r="H23" s="30"/>
      <c r="I23" s="27"/>
      <c r="J23" s="27"/>
      <c r="K23" s="27"/>
      <c r="L23" s="28"/>
      <c r="M23" s="29"/>
      <c r="N23" s="14"/>
      <c r="O23" s="14"/>
      <c r="P23" s="14"/>
      <c r="Q23" s="17"/>
    </row>
    <row r="24" spans="1:17">
      <c r="A24" s="13"/>
      <c r="B24" s="14"/>
      <c r="C24" s="27"/>
      <c r="D24" s="40"/>
      <c r="E24" s="27"/>
      <c r="F24" s="27"/>
      <c r="G24" s="27"/>
      <c r="H24" s="30"/>
      <c r="I24" s="27"/>
      <c r="J24" s="27"/>
      <c r="K24" s="27"/>
      <c r="L24" s="28"/>
      <c r="M24" s="29"/>
      <c r="N24" s="14"/>
      <c r="O24" s="14"/>
      <c r="P24" s="14"/>
      <c r="Q24" s="17"/>
    </row>
    <row r="25" spans="1:17">
      <c r="A25" s="13"/>
      <c r="B25" s="14"/>
      <c r="C25" s="27"/>
      <c r="D25" s="40"/>
      <c r="E25" s="27"/>
      <c r="F25" s="27"/>
      <c r="G25" s="27"/>
      <c r="H25" s="30"/>
      <c r="I25" s="27"/>
      <c r="J25" s="27"/>
      <c r="K25" s="27"/>
      <c r="L25" s="28"/>
      <c r="M25" s="29"/>
      <c r="N25" s="14"/>
      <c r="O25" s="14"/>
      <c r="P25" s="14"/>
      <c r="Q25" s="17"/>
    </row>
    <row r="26" spans="1:17">
      <c r="A26" s="13"/>
      <c r="B26" s="14"/>
      <c r="C26" s="27"/>
      <c r="D26" s="40"/>
      <c r="E26" s="27"/>
      <c r="F26" s="27"/>
      <c r="G26" s="27"/>
      <c r="H26" s="30"/>
      <c r="I26" s="27"/>
      <c r="J26" s="27"/>
      <c r="K26" s="27"/>
      <c r="L26" s="28"/>
      <c r="M26" s="29"/>
      <c r="N26" s="14"/>
      <c r="O26" s="14"/>
      <c r="P26" s="14"/>
      <c r="Q26" s="17"/>
    </row>
    <row r="27" spans="1:17" ht="16.5" thickBot="1">
      <c r="A27" s="13"/>
      <c r="B27" s="14"/>
      <c r="C27" s="27"/>
      <c r="D27" s="27"/>
      <c r="E27" s="27"/>
      <c r="F27" s="27"/>
      <c r="G27" s="27"/>
      <c r="H27" s="30"/>
      <c r="I27" s="27"/>
      <c r="J27" s="27"/>
      <c r="K27" s="27"/>
      <c r="L27" s="28"/>
      <c r="M27" s="29"/>
      <c r="N27" s="14"/>
      <c r="O27" s="14"/>
      <c r="P27" s="14"/>
      <c r="Q27" s="17"/>
    </row>
    <row r="28" spans="1:17" ht="16.5" thickBot="1">
      <c r="A28" s="41">
        <v>1</v>
      </c>
      <c r="B28" s="466" t="s">
        <v>55</v>
      </c>
      <c r="C28" s="467"/>
      <c r="D28" s="32">
        <f>SQRT($I$13/4+$D$15*$D$17/3/$D$19*$G$13*$H$11)-$H$13/2</f>
        <v>0.43591010873089481</v>
      </c>
      <c r="E28" s="468" t="s">
        <v>56</v>
      </c>
      <c r="F28" s="469"/>
      <c r="G28" s="470"/>
      <c r="H28" s="30"/>
      <c r="I28" s="27"/>
      <c r="J28" s="27"/>
      <c r="K28" s="27"/>
      <c r="L28" s="28"/>
      <c r="M28" s="29"/>
      <c r="N28" s="14"/>
      <c r="O28" s="14"/>
      <c r="P28" s="14"/>
      <c r="Q28" s="17"/>
    </row>
    <row r="29" spans="1:17" ht="16.5" thickBot="1">
      <c r="A29" s="41">
        <v>2</v>
      </c>
      <c r="B29" s="474" t="s">
        <v>57</v>
      </c>
      <c r="C29" s="465"/>
      <c r="D29" s="32">
        <f>SQRT($I$13/4+$D$15/6*$G$13)-$H$13/2</f>
        <v>0.5</v>
      </c>
      <c r="E29" s="471"/>
      <c r="F29" s="472"/>
      <c r="G29" s="473"/>
      <c r="H29" s="30"/>
      <c r="I29" s="27"/>
      <c r="J29" s="27"/>
      <c r="K29" s="27"/>
      <c r="L29" s="28"/>
      <c r="M29" s="29"/>
      <c r="N29" s="14"/>
      <c r="O29" s="14"/>
      <c r="P29" s="14"/>
      <c r="Q29" s="17"/>
    </row>
    <row r="30" spans="1:17" ht="16.5" thickBot="1">
      <c r="A30" s="42"/>
      <c r="B30" s="14"/>
      <c r="C30" s="27"/>
      <c r="D30" s="27"/>
      <c r="E30" s="27"/>
      <c r="F30" s="27"/>
      <c r="G30" s="27"/>
      <c r="H30" s="30"/>
      <c r="I30" s="27"/>
      <c r="J30" s="27"/>
      <c r="K30" s="27"/>
      <c r="L30" s="28"/>
      <c r="M30" s="29"/>
      <c r="N30" s="14"/>
      <c r="O30" s="14"/>
      <c r="P30" s="14"/>
      <c r="Q30" s="17"/>
    </row>
    <row r="31" spans="1:17" ht="16.5" thickBot="1">
      <c r="A31" s="41">
        <v>3</v>
      </c>
      <c r="B31" s="466" t="s">
        <v>55</v>
      </c>
      <c r="C31" s="467"/>
      <c r="D31" s="32">
        <f>$F$13*($D$21*$D$17/2/$D$19*$H$11*$F$13)/($D$23+$D$21*$H$13)</f>
        <v>0.45604229494507331</v>
      </c>
      <c r="E31" s="468" t="s">
        <v>58</v>
      </c>
      <c r="F31" s="469"/>
      <c r="G31" s="470"/>
      <c r="H31" s="30"/>
      <c r="I31" s="27"/>
      <c r="J31" s="27"/>
      <c r="K31" s="27"/>
      <c r="L31" s="28"/>
      <c r="M31" s="29"/>
      <c r="N31" s="14"/>
      <c r="O31" s="14"/>
      <c r="P31" s="14"/>
      <c r="Q31" s="17"/>
    </row>
    <row r="32" spans="1:17" ht="16.5" thickBot="1">
      <c r="A32" s="43">
        <v>4</v>
      </c>
      <c r="B32" s="474" t="s">
        <v>57</v>
      </c>
      <c r="C32" s="465"/>
      <c r="D32" s="32">
        <f>$F$13/4*$D$21*$F$13/($D$23+$H$13)</f>
        <v>0.6</v>
      </c>
      <c r="E32" s="471"/>
      <c r="F32" s="472"/>
      <c r="G32" s="473"/>
      <c r="H32" s="30"/>
      <c r="I32" s="27"/>
      <c r="J32" s="27"/>
      <c r="K32" s="27"/>
      <c r="L32" s="28"/>
      <c r="M32" s="29"/>
      <c r="N32" s="14"/>
      <c r="O32" s="14"/>
      <c r="P32" s="14"/>
      <c r="Q32" s="17"/>
    </row>
    <row r="33" spans="1:22" ht="16.5" thickBot="1">
      <c r="A33" s="13"/>
      <c r="B33" s="14"/>
      <c r="C33" s="27"/>
      <c r="D33" s="27"/>
      <c r="E33" s="27"/>
      <c r="F33" s="27"/>
      <c r="G33" s="27"/>
      <c r="H33" s="30"/>
      <c r="I33" s="27"/>
      <c r="J33" s="27"/>
      <c r="K33" s="27"/>
      <c r="L33" s="28"/>
      <c r="M33" s="29"/>
      <c r="N33" s="14"/>
      <c r="O33" s="14"/>
      <c r="P33" s="14"/>
      <c r="Q33" s="17"/>
    </row>
    <row r="34" spans="1:22">
      <c r="A34" s="44"/>
      <c r="B34" s="45"/>
      <c r="C34" s="46"/>
      <c r="D34" s="46"/>
      <c r="E34" s="46"/>
      <c r="F34" s="46"/>
      <c r="G34" s="46"/>
      <c r="H34" s="47"/>
      <c r="I34" s="46"/>
      <c r="J34" s="46"/>
      <c r="K34" s="46"/>
      <c r="L34" s="48"/>
      <c r="M34" s="49"/>
      <c r="N34" s="45"/>
      <c r="O34" s="45"/>
      <c r="P34" s="45"/>
      <c r="Q34" s="50"/>
      <c r="R34" s="51"/>
      <c r="S34" s="51"/>
      <c r="T34" s="51"/>
      <c r="U34" s="51"/>
      <c r="V34" s="51"/>
    </row>
    <row r="35" spans="1:22">
      <c r="A35" s="52"/>
      <c r="B35" s="53" t="s">
        <v>452</v>
      </c>
      <c r="C35" s="54"/>
      <c r="D35" s="54"/>
      <c r="E35" s="54"/>
      <c r="F35" s="54"/>
      <c r="G35" s="54"/>
      <c r="H35" s="55"/>
      <c r="I35" s="56"/>
      <c r="J35" s="56"/>
      <c r="K35" s="56"/>
      <c r="L35" s="57"/>
      <c r="M35" s="53"/>
      <c r="N35" s="58"/>
      <c r="O35" s="58"/>
      <c r="P35" s="58"/>
      <c r="Q35" s="59"/>
      <c r="R35" s="51"/>
      <c r="S35" s="51"/>
      <c r="T35" s="51"/>
      <c r="U35" s="51"/>
      <c r="V35" s="51"/>
    </row>
    <row r="36" spans="1:22">
      <c r="A36" s="52"/>
      <c r="B36" s="53" t="s">
        <v>450</v>
      </c>
      <c r="C36" s="54"/>
      <c r="D36" s="54"/>
      <c r="E36" s="54"/>
      <c r="F36" s="54"/>
      <c r="G36" s="54"/>
      <c r="H36" s="55"/>
      <c r="I36" s="56"/>
      <c r="J36" s="56"/>
      <c r="K36" s="56"/>
      <c r="L36" s="57"/>
      <c r="M36" s="53"/>
      <c r="N36" s="58"/>
      <c r="O36" s="58"/>
      <c r="P36" s="58"/>
      <c r="Q36" s="59"/>
      <c r="R36" s="51"/>
      <c r="S36" s="51"/>
      <c r="T36" s="51"/>
      <c r="U36" s="51"/>
      <c r="V36" s="51"/>
    </row>
    <row r="37" spans="1:22">
      <c r="A37" s="52"/>
      <c r="B37" s="53" t="s">
        <v>451</v>
      </c>
      <c r="C37" s="54"/>
      <c r="D37" s="54"/>
      <c r="E37" s="54"/>
      <c r="F37" s="54"/>
      <c r="G37" s="54"/>
      <c r="H37" s="55"/>
      <c r="I37" s="56"/>
      <c r="J37" s="56"/>
      <c r="K37" s="56"/>
      <c r="L37" s="57"/>
      <c r="M37" s="53"/>
      <c r="N37" s="58"/>
      <c r="O37" s="58"/>
      <c r="P37" s="58"/>
      <c r="Q37" s="59"/>
    </row>
    <row r="38" spans="1:22" ht="16.5" thickBot="1">
      <c r="A38" s="52"/>
      <c r="B38" s="58"/>
      <c r="C38" s="56"/>
      <c r="D38" s="56"/>
      <c r="E38" s="56"/>
      <c r="F38" s="56"/>
      <c r="G38" s="56"/>
      <c r="H38" s="55"/>
      <c r="I38" s="56"/>
      <c r="J38" s="56"/>
      <c r="K38" s="56"/>
      <c r="L38" s="57"/>
      <c r="M38" s="53"/>
      <c r="N38" s="58"/>
      <c r="O38" s="58"/>
      <c r="P38" s="58"/>
      <c r="Q38" s="59"/>
    </row>
    <row r="39" spans="1:22" ht="15.75" customHeight="1" thickBot="1">
      <c r="A39" s="52"/>
      <c r="B39" s="464" t="s">
        <v>57</v>
      </c>
      <c r="C39" s="465"/>
      <c r="D39" s="60">
        <f>SQRT($I$13/4+1.1*$D$15/6*$G$13)-$H$13/2</f>
        <v>0.52440442408507582</v>
      </c>
      <c r="E39" s="56"/>
      <c r="F39" s="56"/>
      <c r="G39" s="56"/>
      <c r="H39" s="55"/>
      <c r="I39" s="56"/>
      <c r="J39" s="56"/>
      <c r="K39" s="56"/>
      <c r="L39" s="57"/>
      <c r="M39" s="53"/>
      <c r="N39" s="58"/>
      <c r="O39" s="58"/>
      <c r="P39" s="58"/>
      <c r="Q39" s="59"/>
    </row>
    <row r="40" spans="1:22" ht="15.75" customHeight="1" thickBot="1">
      <c r="A40" s="52"/>
      <c r="B40" s="464" t="s">
        <v>57</v>
      </c>
      <c r="C40" s="465"/>
      <c r="D40" s="61">
        <f>1.1*$F$13/4*$D$21*$F$13/($D$23+$H$13)</f>
        <v>0.66</v>
      </c>
      <c r="E40" s="56"/>
      <c r="F40" s="56"/>
      <c r="G40" s="56"/>
      <c r="H40" s="55"/>
      <c r="I40" s="56"/>
      <c r="J40" s="56"/>
      <c r="K40" s="56"/>
      <c r="L40" s="57"/>
      <c r="M40" s="53"/>
      <c r="N40" s="58"/>
      <c r="O40" s="58"/>
      <c r="P40" s="58"/>
      <c r="Q40" s="59"/>
    </row>
    <row r="41" spans="1:22" ht="16.5" thickBot="1">
      <c r="A41" s="62"/>
      <c r="B41" s="63"/>
      <c r="C41" s="64"/>
      <c r="D41" s="64"/>
      <c r="E41" s="64"/>
      <c r="F41" s="64"/>
      <c r="G41" s="64"/>
      <c r="H41" s="65"/>
      <c r="I41" s="64"/>
      <c r="J41" s="64"/>
      <c r="K41" s="64"/>
      <c r="L41" s="66"/>
      <c r="M41" s="67"/>
      <c r="N41" s="63"/>
      <c r="O41" s="63"/>
      <c r="P41" s="63"/>
      <c r="Q41" s="68"/>
    </row>
    <row r="42" spans="1:22" ht="15">
      <c r="A42" s="73"/>
      <c r="B42" s="73"/>
      <c r="H42" s="73"/>
      <c r="L42" s="73"/>
      <c r="M42" s="73"/>
      <c r="N42" s="73"/>
      <c r="O42" s="73"/>
      <c r="P42" s="73"/>
      <c r="Q42" s="73"/>
    </row>
    <row r="43" spans="1:22" ht="15">
      <c r="A43" s="73"/>
      <c r="B43" s="73"/>
      <c r="H43" s="73"/>
      <c r="L43" s="73"/>
      <c r="M43" s="73"/>
      <c r="N43" s="73"/>
      <c r="O43" s="73"/>
      <c r="P43" s="73"/>
      <c r="Q43" s="73"/>
    </row>
    <row r="44" spans="1:22" ht="15">
      <c r="A44" s="73"/>
      <c r="B44" s="73"/>
      <c r="H44" s="73"/>
      <c r="L44" s="73"/>
      <c r="M44" s="73"/>
      <c r="N44" s="73"/>
      <c r="O44" s="73"/>
      <c r="P44" s="73"/>
      <c r="Q44" s="73"/>
    </row>
    <row r="45" spans="1:22" ht="15">
      <c r="A45" s="73"/>
      <c r="B45" s="73"/>
      <c r="H45" s="73"/>
      <c r="L45" s="73"/>
      <c r="M45" s="73"/>
      <c r="N45" s="73"/>
      <c r="O45" s="73"/>
      <c r="P45" s="73"/>
      <c r="Q45" s="73"/>
    </row>
    <row r="46" spans="1:22" ht="15">
      <c r="A46" s="73"/>
      <c r="B46" s="73"/>
      <c r="H46" s="73"/>
      <c r="L46" s="73"/>
      <c r="M46" s="73"/>
      <c r="N46" s="73"/>
      <c r="O46" s="73"/>
      <c r="P46" s="73"/>
      <c r="Q46" s="73"/>
    </row>
    <row r="47" spans="1:22" ht="15">
      <c r="A47" s="73"/>
      <c r="B47" s="73"/>
      <c r="H47" s="73"/>
      <c r="L47" s="73"/>
      <c r="M47" s="73"/>
      <c r="N47" s="73"/>
      <c r="O47" s="73"/>
      <c r="P47" s="73"/>
      <c r="Q47" s="73"/>
    </row>
    <row r="48" spans="1:22" ht="15">
      <c r="A48" s="73"/>
      <c r="B48" s="73"/>
      <c r="H48" s="73"/>
      <c r="L48" s="73"/>
      <c r="M48" s="73"/>
      <c r="N48" s="73"/>
      <c r="O48" s="73"/>
      <c r="P48" s="73"/>
      <c r="Q48" s="73"/>
    </row>
    <row r="49" spans="1:17" ht="15">
      <c r="A49" s="73"/>
      <c r="B49" s="73"/>
      <c r="H49" s="73"/>
      <c r="L49" s="73"/>
      <c r="M49" s="73"/>
      <c r="N49" s="73"/>
      <c r="O49" s="73"/>
      <c r="P49" s="73"/>
      <c r="Q49" s="73"/>
    </row>
    <row r="50" spans="1:17" ht="15">
      <c r="A50" s="73"/>
      <c r="B50" s="73"/>
      <c r="H50" s="73"/>
      <c r="L50" s="73"/>
      <c r="M50" s="73"/>
      <c r="N50" s="73"/>
      <c r="O50" s="73"/>
      <c r="P50" s="73"/>
      <c r="Q50" s="73"/>
    </row>
    <row r="51" spans="1:17" ht="15">
      <c r="A51" s="73"/>
      <c r="B51" s="73"/>
      <c r="H51" s="73"/>
      <c r="L51" s="73"/>
      <c r="M51" s="73"/>
      <c r="N51" s="73"/>
      <c r="O51" s="73"/>
      <c r="P51" s="73"/>
      <c r="Q51" s="73"/>
    </row>
    <row r="52" spans="1:17" ht="15">
      <c r="A52" s="73"/>
      <c r="B52" s="73"/>
      <c r="H52" s="73"/>
      <c r="L52" s="73"/>
      <c r="M52" s="73"/>
      <c r="N52" s="73"/>
      <c r="O52" s="73"/>
      <c r="P52" s="73"/>
      <c r="Q52" s="73"/>
    </row>
    <row r="53" spans="1:17" ht="15">
      <c r="A53" s="73"/>
      <c r="B53" s="73"/>
      <c r="H53" s="73"/>
      <c r="L53" s="73"/>
      <c r="M53" s="73"/>
      <c r="N53" s="73"/>
      <c r="O53" s="73"/>
      <c r="P53" s="73"/>
      <c r="Q53" s="73"/>
    </row>
    <row r="54" spans="1:17" ht="15">
      <c r="A54" s="73"/>
      <c r="B54" s="73"/>
      <c r="H54" s="73"/>
      <c r="L54" s="73"/>
      <c r="M54" s="73"/>
      <c r="N54" s="73"/>
      <c r="O54" s="73"/>
      <c r="P54" s="73"/>
      <c r="Q54" s="73"/>
    </row>
    <row r="55" spans="1:17" ht="15">
      <c r="A55" s="73"/>
      <c r="B55" s="73"/>
      <c r="H55" s="73"/>
      <c r="L55" s="73"/>
      <c r="M55" s="73"/>
      <c r="N55" s="73"/>
      <c r="O55" s="73"/>
      <c r="P55" s="73"/>
      <c r="Q55" s="73"/>
    </row>
    <row r="56" spans="1:17" ht="15">
      <c r="A56" s="73"/>
      <c r="B56" s="73"/>
      <c r="H56" s="73"/>
      <c r="L56" s="73"/>
      <c r="M56" s="73"/>
      <c r="N56" s="73"/>
      <c r="O56" s="73"/>
      <c r="P56" s="73"/>
      <c r="Q56" s="73"/>
    </row>
    <row r="57" spans="1:17" ht="15">
      <c r="A57" s="73"/>
      <c r="B57" s="73"/>
      <c r="H57" s="73"/>
      <c r="L57" s="73"/>
      <c r="M57" s="73"/>
      <c r="N57" s="73"/>
      <c r="O57" s="73"/>
      <c r="P57" s="73"/>
      <c r="Q57" s="73"/>
    </row>
    <row r="58" spans="1:17" ht="15">
      <c r="A58" s="73"/>
      <c r="B58" s="73"/>
      <c r="H58" s="73"/>
      <c r="L58" s="73"/>
      <c r="M58" s="73"/>
      <c r="N58" s="73"/>
      <c r="O58" s="73"/>
      <c r="P58" s="73"/>
      <c r="Q58" s="73"/>
    </row>
    <row r="59" spans="1:17" ht="15">
      <c r="A59" s="73"/>
      <c r="B59" s="73"/>
      <c r="H59" s="73"/>
      <c r="L59" s="73"/>
      <c r="M59" s="73"/>
      <c r="N59" s="73"/>
      <c r="O59" s="73"/>
      <c r="P59" s="73"/>
      <c r="Q59" s="73"/>
    </row>
    <row r="60" spans="1:17" ht="15">
      <c r="A60" s="73"/>
      <c r="B60" s="73"/>
      <c r="H60" s="73"/>
      <c r="L60" s="73"/>
      <c r="M60" s="73"/>
      <c r="N60" s="73"/>
      <c r="O60" s="73"/>
      <c r="P60" s="73"/>
      <c r="Q60" s="73"/>
    </row>
    <row r="61" spans="1:17" ht="15">
      <c r="A61" s="73"/>
      <c r="B61" s="73"/>
      <c r="H61" s="73"/>
      <c r="L61" s="73"/>
      <c r="M61" s="73"/>
      <c r="N61" s="73"/>
      <c r="O61" s="73"/>
      <c r="P61" s="73"/>
      <c r="Q61" s="73"/>
    </row>
    <row r="62" spans="1:17" ht="15">
      <c r="A62" s="73"/>
      <c r="B62" s="73"/>
      <c r="H62" s="73"/>
      <c r="L62" s="73"/>
      <c r="M62" s="73"/>
      <c r="N62" s="73"/>
      <c r="O62" s="73"/>
      <c r="P62" s="73"/>
      <c r="Q62" s="73"/>
    </row>
    <row r="63" spans="1:17" ht="15">
      <c r="A63" s="73"/>
      <c r="B63" s="73"/>
      <c r="H63" s="73"/>
      <c r="L63" s="73"/>
      <c r="M63" s="73"/>
      <c r="N63" s="73"/>
      <c r="O63" s="73"/>
      <c r="P63" s="73"/>
      <c r="Q63" s="73"/>
    </row>
    <row r="64" spans="1:17" ht="15">
      <c r="A64" s="73"/>
      <c r="B64" s="73"/>
      <c r="H64" s="73"/>
      <c r="L64" s="73"/>
      <c r="M64" s="73"/>
      <c r="N64" s="73"/>
      <c r="O64" s="73"/>
      <c r="P64" s="73"/>
      <c r="Q64" s="73"/>
    </row>
    <row r="65" spans="1:17" ht="15">
      <c r="A65" s="73"/>
      <c r="B65" s="73"/>
      <c r="H65" s="73"/>
      <c r="L65" s="73"/>
      <c r="M65" s="73"/>
      <c r="N65" s="73"/>
      <c r="O65" s="73"/>
      <c r="P65" s="73"/>
      <c r="Q65" s="73"/>
    </row>
    <row r="66" spans="1:17" ht="15">
      <c r="A66" s="73"/>
      <c r="B66" s="73"/>
      <c r="H66" s="73"/>
      <c r="L66" s="73"/>
      <c r="M66" s="73"/>
      <c r="N66" s="73"/>
      <c r="O66" s="73"/>
      <c r="P66" s="73"/>
      <c r="Q66" s="73"/>
    </row>
    <row r="67" spans="1:17">
      <c r="B67" s="72"/>
    </row>
    <row r="68" spans="1:17">
      <c r="B68" s="72"/>
    </row>
    <row r="69" spans="1:17">
      <c r="B69" s="72"/>
    </row>
  </sheetData>
  <mergeCells count="9">
    <mergeCell ref="B40:C40"/>
    <mergeCell ref="B31:C31"/>
    <mergeCell ref="E31:G32"/>
    <mergeCell ref="B32:C32"/>
    <mergeCell ref="B39:C39"/>
    <mergeCell ref="E19:I19"/>
    <mergeCell ref="B28:C28"/>
    <mergeCell ref="E28:G29"/>
    <mergeCell ref="B29:C29"/>
  </mergeCells>
  <phoneticPr fontId="0" type="noConversion"/>
  <pageMargins left="0.7" right="0.7" top="0.75" bottom="0.75" header="0.3" footer="0.3"/>
  <pageSetup paperSize="9" orientation="portrait" r:id="rId1"/>
  <headerFooter alignWithMargins="0"/>
  <legacyDrawing r:id="rId2"/>
  <oleObjects>
    <oleObject progId="Equation.3" shapeId="5121" r:id="rId3"/>
    <oleObject progId="Equation.3" shapeId="5122" r:id="rId4"/>
    <oleObject progId="Equation.3" shapeId="5123" r:id="rId5"/>
    <oleObject progId="Equation.3" shapeId="5124" r:id="rId6"/>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19</vt:i4>
      </vt:variant>
      <vt:variant>
        <vt:lpstr>Intervalli denominati</vt:lpstr>
      </vt:variant>
      <vt:variant>
        <vt:i4>1</vt:i4>
      </vt:variant>
    </vt:vector>
  </HeadingPairs>
  <TitlesOfParts>
    <vt:vector size="20" baseType="lpstr">
      <vt:lpstr>avvertenze</vt:lpstr>
      <vt:lpstr>elenco</vt:lpstr>
      <vt:lpstr>analisi carichi </vt:lpstr>
      <vt:lpstr>spinta delle terre </vt:lpstr>
      <vt:lpstr>stabilità pendio </vt:lpstr>
      <vt:lpstr>resistenza scivolamento </vt:lpstr>
      <vt:lpstr>resistenza ribaltamento</vt:lpstr>
      <vt:lpstr>resistenza schiacciamento</vt:lpstr>
      <vt:lpstr>rapporto B-H briglie</vt:lpstr>
      <vt:lpstr>rapporto B-H palificata </vt:lpstr>
      <vt:lpstr>formule speditive_ipotesi </vt:lpstr>
      <vt:lpstr>formule speditive_calcolo </vt:lpstr>
      <vt:lpstr>verifica flessione(1)</vt:lpstr>
      <vt:lpstr>verifica flessione(2)</vt:lpstr>
      <vt:lpstr>verifica taglio (1)</vt:lpstr>
      <vt:lpstr>verifica taglio (2)</vt:lpstr>
      <vt:lpstr>sfilamento chiodo</vt:lpstr>
      <vt:lpstr>numero pali e chiodi </vt:lpstr>
      <vt:lpstr>allegato al num. pali e chiodi </vt:lpstr>
      <vt:lpstr>'formule speditive_calcolo '!_Toc332021465</vt:lpstr>
    </vt:vector>
  </TitlesOfParts>
  <Company>Tecnovia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Palmeri</dc:creator>
  <cp:lastModifiedBy>GM</cp:lastModifiedBy>
  <cp:lastPrinted>2013-08-19T14:26:35Z</cp:lastPrinted>
  <dcterms:created xsi:type="dcterms:W3CDTF">2013-05-08T08:32:42Z</dcterms:created>
  <dcterms:modified xsi:type="dcterms:W3CDTF">2015-03-13T12:25:09Z</dcterms:modified>
</cp:coreProperties>
</file>